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Zrey93h/5NWMG/jdifQADGQaGMVRzuLOpsFh9l9HBU0PYWo1YNGh4Hx5DZNAc4V53QrtXGJaSh2xW6hCVcefiw==" workbookSaltValue="kJ5FdDRkOHSOdSb/E57e+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8" i="2" s="1"/>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AL13" i="16"/>
  <c r="S13" i="16"/>
  <c r="P13" i="16"/>
  <c r="AN13" i="20"/>
  <c r="Z13" i="17"/>
  <c r="AN17" i="11"/>
  <c r="M18" i="2"/>
  <c r="D17" i="6"/>
  <c r="BD9" i="8"/>
  <c r="BF9" i="8"/>
  <c r="BA13" i="8"/>
  <c r="E13" i="17"/>
  <c r="T13" i="20"/>
  <c r="T13" i="16"/>
  <c r="AP13" i="16"/>
  <c r="T18" i="17"/>
  <c r="J20" i="20"/>
  <c r="AF20" i="20"/>
  <c r="M20" i="20"/>
  <c r="AG20" i="20"/>
  <c r="S20" i="20"/>
  <c r="Z20" i="20"/>
  <c r="AM20" i="20"/>
  <c r="AK20" i="20"/>
  <c r="F20" i="20"/>
  <c r="K20" i="20"/>
  <c r="W20" i="21"/>
  <c r="G17" i="3" l="1"/>
  <c r="AR18" i="11"/>
  <c r="I19" i="8"/>
  <c r="AC12" i="11"/>
  <c r="T13" i="12"/>
  <c r="AA19" i="8"/>
  <c r="BG12" i="8"/>
  <c r="AY13" i="8"/>
  <c r="BF12" i="8"/>
  <c r="H13" i="12"/>
  <c r="D13" i="7"/>
  <c r="BE9" i="8"/>
  <c r="BG9" i="8"/>
  <c r="C19" i="3"/>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I9" i="12" l="1"/>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V13" i="21"/>
  <c r="V19" i="21"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<sst xmlns="http://schemas.openxmlformats.org/spreadsheetml/2006/main" count="2066" uniqueCount="906">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</sst>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905</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ZiAEtE6yEcmj3DdrFrKzY6VPJqudXiWr00butn44e81sK8wsNFqjHnQAG81x7vheYL8KXJKpyfLRXRjehFkdg==" saltValue="s2r/sYY7mv7wGvzNVT9m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10.947895254267586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88</v>
      </c>
      <c r="D10" s="228">
        <f>IF(ISNUMBER(Datos!I10),Datos!I10," - ")</f>
        <v>88</v>
      </c>
      <c r="E10" s="229">
        <f>IF(ISNUMBER(Datos!J10),Datos!J10," - ")</f>
        <v>127</v>
      </c>
      <c r="F10" s="229">
        <f>IF(ISNUMBER(Datos!K10),Datos!K10," - ")</f>
        <v>124</v>
      </c>
      <c r="G10" s="1037" t="str">
        <f>IF(Datos!E10&lt;&gt;"",Datos!E10,Datos!D10)</f>
        <v>37</v>
      </c>
      <c r="H10" s="230">
        <f>IF(ISNUMBER(Datos!L10),Datos!L10," - ")</f>
        <v>91</v>
      </c>
      <c r="I10" s="1047" t="str">
        <f>IF(ISNUMBER(Datos!AS10/Datos!BM10),Datos!AS10/Datos!BM10," - ")</f>
        <v xml:space="preserve"> - </v>
      </c>
      <c r="J10" s="1048">
        <f>IF(ISNUMBER(Datos!BY10/Datos!CN10),Datos!BY10/Datos!CN10," - ")</f>
        <v>0</v>
      </c>
      <c r="K10" s="233">
        <f t="shared" ref="K10:K12" si="1">IF(ISNUMBER((E10-F10)/C10),(E10-F10)/C10," - ")</f>
        <v>3.4090909090909088E-2</v>
      </c>
      <c r="L10" s="1028">
        <f>IF(ISNUMBER(NºAsuntos!I10/NºAsuntos!G10),(NºAsuntos!I10/NºAsuntos!G10)*11," - ")</f>
        <v>8.07258064516129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88</v>
      </c>
      <c r="D13" s="1052">
        <f>SUBTOTAL(9,D9:D12)</f>
        <v>88</v>
      </c>
      <c r="E13" s="1053">
        <f>SUBTOTAL(9,E9:E12)</f>
        <v>127</v>
      </c>
      <c r="F13" s="1054">
        <f>SUBTOTAL(9,F9:F12)</f>
        <v>124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2613</v>
      </c>
      <c r="D15" s="228">
        <f>IF(ISNUMBER(IF(D_I="SI",Datos!I15,Datos!I15+Datos!AC15)),IF(D_I="SI",Datos!I15,Datos!I15+Datos!AC15)," - ")</f>
        <v>2613</v>
      </c>
      <c r="E15" s="229">
        <f>IF(ISNUMBER(IF(D_I="SI",Datos!J15,Datos!J15+Datos!AD15)),IF(D_I="SI",Datos!J15,Datos!J15+Datos!AD15)," - ")</f>
        <v>12188</v>
      </c>
      <c r="F15" s="229">
        <f>IF(ISNUMBER(IF(D_I="SI",Datos!K15,Datos!K15+Datos!AE15)),IF(D_I="SI",Datos!K15,Datos!K15+Datos!AE15)," - ")</f>
        <v>11566</v>
      </c>
      <c r="G15" s="1037" t="str">
        <f>IF(Datos!E15&lt;&gt;"",Datos!E15,Datos!D15)</f>
        <v>03</v>
      </c>
      <c r="H15" s="230">
        <f>IF(ISNUMBER(IF(D_I="SI",Datos!L15,Datos!L15+Datos!AF15)),IF(D_I="SI",Datos!L15,Datos!L15+Datos!AF15)," - ")</f>
        <v>3235</v>
      </c>
      <c r="I15" s="1047" t="str">
        <f>IF(ISNUMBER(Datos!AS15/Datos!BM15),Datos!AS15/Datos!BM15," - ")</f>
        <v xml:space="preserve"> - </v>
      </c>
      <c r="J15" s="1048">
        <f>IF(ISNUMBER(Datos!BY15/Datos!CN15),Datos!BY15/Datos!CN15," - ")</f>
        <v>0</v>
      </c>
      <c r="K15" s="233">
        <f t="shared" ref="K15:K17" si="3">IF(ISNUMBER((E15-F15)/C15),(E15-F15)/C15," - ")</f>
        <v>0.23804056639877536</v>
      </c>
      <c r="L15" s="1028">
        <f>IF(ISNUMBER(NºAsuntos!I15/NºAsuntos!G15),(NºAsuntos!I15/NºAsuntos!G15)*11," - ")</f>
        <v>3.076690299152689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10</v>
      </c>
      <c r="D16" s="228">
        <f>IF(ISNUMBER(IF(D_I="SI",Datos!I16,Datos!I16+Datos!AC16)),IF(D_I="SI",Datos!I16,Datos!I16+Datos!AC16)," - ")</f>
        <v>9</v>
      </c>
      <c r="E16" s="229">
        <f>IF(ISNUMBER(IF(D_I="SI",Datos!J16,Datos!J16+Datos!AD16)),IF(D_I="SI",Datos!J16,Datos!J16+Datos!AD16)," - ")</f>
        <v>0</v>
      </c>
      <c r="F16" s="229">
        <f>IF(ISNUMBER(IF(D_I="SI",Datos!K16,Datos!K16+Datos!AE16)),IF(D_I="SI",Datos!K16,Datos!K16+Datos!AE16)," - ")</f>
        <v>1</v>
      </c>
      <c r="G16" s="1037" t="str">
        <f>IF(Datos!E16&lt;&gt;"",Datos!E16,Datos!D16)</f>
        <v>04</v>
      </c>
      <c r="H16" s="230">
        <f>IF(ISNUMBER(IF(D_I="SI",Datos!L16,Datos!L16+Datos!AF16)),IF(D_I="SI",Datos!L16,Datos!L16+Datos!AF16)," - ")</f>
        <v>9</v>
      </c>
      <c r="I16" s="1047" t="str">
        <f>IF(ISNUMBER(Datos!AS16/Datos!BM16),Datos!AS16/Datos!BM16," - ")</f>
        <v xml:space="preserve"> - </v>
      </c>
      <c r="J16" s="1048">
        <f>IF(ISNUMBER(Datos!BY16/Datos!CN16),Datos!BY16/Datos!CN16," - ")</f>
        <v>0</v>
      </c>
      <c r="K16" s="233">
        <f t="shared" si="3"/>
        <v>-0.1</v>
      </c>
      <c r="L16" s="1028">
        <f>IF(ISNUMBER(NºAsuntos!I16/NºAsuntos!G16),(NºAsuntos!I16/NºAsuntos!G16)*11," - ")</f>
        <v>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159</v>
      </c>
      <c r="D17" s="228">
        <f>IF(ISNUMBER(IF(D_I="SI",Datos!I17,Datos!I17+Datos!AC17)),IF(D_I="SI",Datos!I17,Datos!I17+Datos!AC17)," - ")</f>
        <v>159</v>
      </c>
      <c r="E17" s="229">
        <f>IF(ISNUMBER(IF(D_I="SI",Datos!J17,Datos!J17+Datos!AD17)),IF(D_I="SI",Datos!J17,Datos!J17+Datos!AD17)," - ")</f>
        <v>1011</v>
      </c>
      <c r="F17" s="229">
        <f>IF(ISNUMBER(IF(D_I="SI",Datos!K17,Datos!K17+Datos!AE17)),IF(D_I="SI",Datos!K17,Datos!K17+Datos!AE17)," - ")</f>
        <v>1012</v>
      </c>
      <c r="G17" s="1037" t="str">
        <f>IF(Datos!E17&lt;&gt;"",Datos!E17,Datos!D17)</f>
        <v>37</v>
      </c>
      <c r="H17" s="230">
        <f>IF(ISNUMBER(IF(D_I="SI",Datos!L17,Datos!L17+Datos!AF17)),IF(D_I="SI",Datos!L17,Datos!L17+Datos!AF17)," - ")</f>
        <v>158</v>
      </c>
      <c r="I17" s="1047" t="str">
        <f>IF(ISNUMBER(Datos!AS17/Datos!BM17),Datos!AS17/Datos!BM17," - ")</f>
        <v xml:space="preserve"> - </v>
      </c>
      <c r="J17" s="1048" t="str">
        <f>IF(ISNUMBER((Datos!BY17+Datos!BZ17)/Datos!CN17),(Datos!BY17+Datos!BZ17)/Datos!CN17," - ")</f>
        <v xml:space="preserve"> - </v>
      </c>
      <c r="K17" s="233">
        <f t="shared" si="3"/>
        <v>-6.2893081761006293E-3</v>
      </c>
      <c r="L17" s="1028">
        <f>IF(ISNUMBER(NºAsuntos!I17/NºAsuntos!G17),(NºAsuntos!I17/NºAsuntos!G17)*11," - ")</f>
        <v>1.7173913043478259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2782</v>
      </c>
      <c r="D18" s="1052">
        <f>SUBTOTAL(9,D15:D17)</f>
        <v>2781</v>
      </c>
      <c r="E18" s="1053">
        <f>SUBTOTAL(9,E15:E17)</f>
        <v>13199</v>
      </c>
      <c r="F18" s="1053">
        <f>SUBTOTAL(9,F15:F17)</f>
        <v>12579</v>
      </c>
      <c r="G18" s="1055" t="str">
        <f ca="1">INDIRECT(CONCATENATE("G",ROW()-1))</f>
        <v>37</v>
      </c>
      <c r="H18" s="1056">
        <f ca="1">SUMIF(G$14:G17,G18,H$14:H17)</f>
        <v>158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2870</v>
      </c>
      <c r="D19" s="1074">
        <f>SUBTOTAL(9,D9:D18)</f>
        <v>2869</v>
      </c>
      <c r="E19" s="1075">
        <f>SUBTOTAL(9,E9:E18)</f>
        <v>13326</v>
      </c>
      <c r="F19" s="1075">
        <f>SUBTOTAL(9,F9:F18)</f>
        <v>12703</v>
      </c>
      <c r="G19" s="1076"/>
      <c r="H19" s="1077">
        <f ca="1">SUMIF(B9:B18,"TOTAL",H9:H18)</f>
        <v>158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11iGkyp7974M0K+so3voYTqNW+SZjY/fMz1P6Qymej3QSpsUgonce6DhO60oHfwEQcnNfn2LR7rDY7MhQ+Ts/Q==" saltValue="hCvNosblaCvbm+RXf+zu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C9J4H03cN9jPQGD++bTNkTkhoWHOh1ZRwPsBuaP4kEgslIYUTb4dvQyoEBYzRnqy8Ub6+StMB6x2REeqfCrfw==" saltValue="nWpLFwAwY3PGS/qa1qV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8674</v>
      </c>
      <c r="J9" s="184">
        <v>13139</v>
      </c>
      <c r="K9" s="184">
        <v>10870</v>
      </c>
      <c r="L9" s="184">
        <v>10789</v>
      </c>
      <c r="M9" s="184">
        <v>2102</v>
      </c>
      <c r="N9" s="184">
        <v>6414</v>
      </c>
      <c r="O9" s="184">
        <v>2855</v>
      </c>
      <c r="P9" s="184">
        <v>1890</v>
      </c>
      <c r="Q9" s="184">
        <v>985</v>
      </c>
      <c r="R9" s="184">
        <v>10641</v>
      </c>
      <c r="S9" s="184">
        <v>7676</v>
      </c>
      <c r="T9" s="184">
        <v>11374</v>
      </c>
      <c r="U9" s="184">
        <v>10099</v>
      </c>
      <c r="V9" s="184">
        <v>8674</v>
      </c>
      <c r="W9" s="184">
        <v>2046</v>
      </c>
      <c r="X9" s="191">
        <v>4512</v>
      </c>
      <c r="Y9" s="194">
        <v>193</v>
      </c>
      <c r="Z9" s="184">
        <v>461</v>
      </c>
      <c r="AA9" s="184">
        <v>319</v>
      </c>
      <c r="AB9" s="184">
        <v>347</v>
      </c>
      <c r="AC9" s="184">
        <v>0</v>
      </c>
      <c r="AD9" s="184">
        <v>0</v>
      </c>
      <c r="AE9" s="184">
        <v>0</v>
      </c>
      <c r="AF9" s="191">
        <v>0</v>
      </c>
      <c r="AG9" s="194">
        <v>173</v>
      </c>
      <c r="AH9" s="184">
        <v>448</v>
      </c>
      <c r="AI9" s="184">
        <v>419</v>
      </c>
      <c r="AJ9" s="195">
        <v>193</v>
      </c>
      <c r="AK9" s="183">
        <v>0</v>
      </c>
      <c r="AL9" s="184">
        <v>0</v>
      </c>
      <c r="AM9" s="184">
        <v>0</v>
      </c>
      <c r="AN9" s="191">
        <v>0</v>
      </c>
      <c r="AO9" s="261">
        <v>5</v>
      </c>
      <c r="AP9" s="157">
        <v>5</v>
      </c>
      <c r="AQ9" s="157">
        <v>5</v>
      </c>
      <c r="AR9" s="196">
        <v>5</v>
      </c>
      <c r="AS9" s="341" t="s">
        <v>792</v>
      </c>
      <c r="AT9" s="198"/>
      <c r="AU9" s="197"/>
      <c r="AV9" s="198"/>
      <c r="AW9" s="197"/>
      <c r="AX9" s="198"/>
      <c r="AY9" s="123">
        <f>IF(ISNUMBER(IF(J_V="SI",S9,S9+AG9)),IF(J_V="SI",S9,S9+AG9)," - ")</f>
        <v>7849</v>
      </c>
      <c r="AZ9" s="123">
        <f>IF(ISNUMBER(IF(J_V="SI",T9,T9+AH9)),IF(J_V="SI",T9,T9+AH9)," - ")</f>
        <v>11822</v>
      </c>
      <c r="BA9" s="124">
        <f>IF(ISNUMBER(IF(J_V="SI",U9,U9+AI9)),IF(J_V="SI",U9,U9+AI9)," - ")</f>
        <v>10518</v>
      </c>
      <c r="BB9" s="124">
        <f>IF(ISNUMBER(IF(J_V="SI",V9,V9+AJ9)),IF(J_V="SI",V9,V9+AJ9)," - ")</f>
        <v>8867</v>
      </c>
      <c r="BC9" s="125">
        <f>IF(ISNUMBER(X9),X9," - ")</f>
        <v>4512</v>
      </c>
      <c r="BD9" s="126">
        <f>IF(ISNUMBER(BA9/AZ9),BA9/AZ9," - ")</f>
        <v>0.88969717475892407</v>
      </c>
      <c r="BE9" s="127">
        <f>IF(ISNUMBER(BB9/BA9),BB9/BA9, " - ")</f>
        <v>0.84303099448564367</v>
      </c>
      <c r="BF9" s="127">
        <f>IF(ISNUMBER(BC9/BA9),BC9/BA9, " - ")</f>
        <v>0.42897889332572731</v>
      </c>
      <c r="BG9" s="199">
        <f>IF(ISNUMBER((AY9+AZ9)/BA9),(AY9+AZ9)/BA9," - ")</f>
        <v>1.8702224757558472</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88</v>
      </c>
      <c r="J10" s="184">
        <v>127</v>
      </c>
      <c r="K10" s="184">
        <v>124</v>
      </c>
      <c r="L10" s="184">
        <v>91</v>
      </c>
      <c r="M10" s="184">
        <v>52</v>
      </c>
      <c r="N10" s="184">
        <v>50</v>
      </c>
      <c r="O10" s="184">
        <v>18</v>
      </c>
      <c r="P10" s="184">
        <v>10</v>
      </c>
      <c r="Q10" s="184">
        <v>12</v>
      </c>
      <c r="R10" s="184">
        <v>43</v>
      </c>
      <c r="S10" s="184">
        <v>77</v>
      </c>
      <c r="T10" s="184">
        <v>154</v>
      </c>
      <c r="U10" s="184">
        <v>143</v>
      </c>
      <c r="V10" s="184">
        <v>88</v>
      </c>
      <c r="W10" s="184">
        <v>47</v>
      </c>
      <c r="X10" s="191">
        <v>52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786</v>
      </c>
      <c r="AT10" s="195"/>
      <c r="AU10" s="203"/>
      <c r="AV10" s="195"/>
      <c r="AW10" s="203"/>
      <c r="AX10" s="195"/>
      <c r="AY10" s="128">
        <f t="shared" ref="AY10:BC10" si="0">IF(ISNUMBER(S10),S10," - ")</f>
        <v>77</v>
      </c>
      <c r="AZ10" s="129">
        <f t="shared" si="0"/>
        <v>154</v>
      </c>
      <c r="BA10" s="129">
        <f t="shared" si="0"/>
        <v>143</v>
      </c>
      <c r="BB10" s="129">
        <f t="shared" si="0"/>
        <v>88</v>
      </c>
      <c r="BC10" s="125">
        <f t="shared" si="0"/>
        <v>47</v>
      </c>
      <c r="BD10" s="126">
        <f>IF(ISNUMBER(BA10/AZ10),BA10/AZ10," - ")</f>
        <v>0.9285714285714286</v>
      </c>
      <c r="BE10" s="127">
        <f>IF(ISNUMBER(BB10/BA10),BB10/BA10, " - ")</f>
        <v>0.61538461538461542</v>
      </c>
      <c r="BF10" s="127">
        <f>IF(ISNUMBER(BC10/BA10),BC10/BA10, " - ")</f>
        <v>0.32867132867132864</v>
      </c>
      <c r="BG10" s="199">
        <f>IF(ISNUMBER((AY10+AZ10)/BA10),(AY10+AZ10)/BA10," - ")</f>
        <v>1.6153846153846154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v>
      </c>
      <c r="J12" s="186">
        <v>0</v>
      </c>
      <c r="K12" s="186">
        <v>0</v>
      </c>
      <c r="L12" s="186">
        <v>6</v>
      </c>
      <c r="M12" s="186">
        <v>0</v>
      </c>
      <c r="N12" s="186">
        <v>0</v>
      </c>
      <c r="O12" s="184">
        <v>9</v>
      </c>
      <c r="P12" s="186">
        <v>0</v>
      </c>
      <c r="Q12" s="186">
        <v>11</v>
      </c>
      <c r="R12" s="186">
        <v>618</v>
      </c>
      <c r="S12" s="186">
        <v>12</v>
      </c>
      <c r="T12" s="186">
        <v>0</v>
      </c>
      <c r="U12" s="186">
        <v>6</v>
      </c>
      <c r="V12" s="186">
        <v>6</v>
      </c>
      <c r="W12" s="186">
        <v>0</v>
      </c>
      <c r="X12" s="192">
        <v>2</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795</v>
      </c>
      <c r="AT12" s="206"/>
      <c r="AU12" s="205"/>
      <c r="AV12" s="206"/>
      <c r="AW12" s="205"/>
      <c r="AX12" s="206"/>
      <c r="AY12" s="126">
        <f t="shared" si="1"/>
        <v>12</v>
      </c>
      <c r="AZ12" s="127">
        <f t="shared" si="1"/>
        <v>0</v>
      </c>
      <c r="BA12" s="127">
        <f t="shared" si="1"/>
        <v>6</v>
      </c>
      <c r="BB12" s="127">
        <f t="shared" si="1"/>
        <v>6</v>
      </c>
      <c r="BC12" s="125">
        <f>IF(ISNUMBER(X12),X12," - ")</f>
        <v>2</v>
      </c>
      <c r="BD12" s="126" t="str">
        <f t="shared" si="2"/>
        <v xml:space="preserve"> - </v>
      </c>
      <c r="BE12" s="127">
        <f t="shared" si="3"/>
        <v>1</v>
      </c>
      <c r="BF12" s="127">
        <f t="shared" si="4"/>
        <v>0.33333333333333331</v>
      </c>
      <c r="BG12" s="199">
        <f t="shared" si="5"/>
        <v>2</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8768</v>
      </c>
      <c r="J13" s="187">
        <f t="shared" si="6"/>
        <v>13266</v>
      </c>
      <c r="K13" s="187">
        <f t="shared" si="6"/>
        <v>10994</v>
      </c>
      <c r="L13" s="187">
        <f t="shared" si="6"/>
        <v>10886</v>
      </c>
      <c r="M13" s="187">
        <f t="shared" si="6"/>
        <v>2154</v>
      </c>
      <c r="N13" s="187">
        <f t="shared" si="6"/>
        <v>6464</v>
      </c>
      <c r="O13" s="187">
        <f t="shared" si="6"/>
        <v>2882</v>
      </c>
      <c r="P13" s="187">
        <f t="shared" si="6"/>
        <v>1900</v>
      </c>
      <c r="Q13" s="187">
        <f t="shared" si="6"/>
        <v>1008</v>
      </c>
      <c r="R13" s="187">
        <f t="shared" si="6"/>
        <v>11302</v>
      </c>
      <c r="S13" s="187">
        <f t="shared" si="6"/>
        <v>7765</v>
      </c>
      <c r="T13" s="187">
        <f t="shared" si="6"/>
        <v>11528</v>
      </c>
      <c r="U13" s="187">
        <f t="shared" si="6"/>
        <v>10248</v>
      </c>
      <c r="V13" s="187">
        <f t="shared" si="6"/>
        <v>8768</v>
      </c>
      <c r="W13" s="187">
        <f t="shared" si="6"/>
        <v>2093</v>
      </c>
      <c r="X13" s="187">
        <f t="shared" si="6"/>
        <v>4566</v>
      </c>
      <c r="Y13" s="187">
        <f t="shared" si="6"/>
        <v>193</v>
      </c>
      <c r="Z13" s="187">
        <f t="shared" si="6"/>
        <v>461</v>
      </c>
      <c r="AA13" s="187">
        <f t="shared" si="6"/>
        <v>319</v>
      </c>
      <c r="AB13" s="187">
        <f t="shared" si="6"/>
        <v>347</v>
      </c>
      <c r="AC13" s="187">
        <f t="shared" si="6"/>
        <v>0</v>
      </c>
      <c r="AD13" s="187">
        <f t="shared" si="6"/>
        <v>0</v>
      </c>
      <c r="AE13" s="187">
        <f t="shared" si="6"/>
        <v>0</v>
      </c>
      <c r="AF13" s="187">
        <f>SUBTOTAL(9,AF9:AF12)</f>
        <v>0</v>
      </c>
      <c r="AG13" s="187">
        <f t="shared" ref="AG13:AT13" si="7">SUBTOTAL(9,AG8:AG12)</f>
        <v>173</v>
      </c>
      <c r="AH13" s="187">
        <f t="shared" si="7"/>
        <v>448</v>
      </c>
      <c r="AI13" s="187">
        <f t="shared" si="7"/>
        <v>419</v>
      </c>
      <c r="AJ13" s="187">
        <f t="shared" si="7"/>
        <v>193</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7938</v>
      </c>
      <c r="AZ13" s="187">
        <f>SUBTOTAL(9,AZ8:AZ12)</f>
        <v>11976</v>
      </c>
      <c r="BA13" s="187">
        <f>SUBTOTAL(9,BA8:BA12)</f>
        <v>10667</v>
      </c>
      <c r="BB13" s="187">
        <f>SUBTOTAL(9,BB8:BB12)</f>
        <v>8961</v>
      </c>
      <c r="BC13" s="187">
        <f>SUBTOTAL(9,BC8:BC12)</f>
        <v>4561</v>
      </c>
      <c r="BD13" s="208">
        <f>IF(ISNUMBER(BA13/AZ13),BA13/AZ13," - ")</f>
        <v>0.89069806279225117</v>
      </c>
      <c r="BE13" s="209">
        <f>IF(ISNUMBER(BB13/BA13),BB13/BA13, " - ")</f>
        <v>0.84006749789069091</v>
      </c>
      <c r="BF13" s="209">
        <f>IF(ISNUMBER(BC13/BA13),BC13/BA13, " - ")</f>
        <v>0.42758038811287147</v>
      </c>
      <c r="BG13" s="210">
        <f>IF(ISNUMBER((AY13+AZ13)/BA13),(AY13+AZ13)/BA13," - ")</f>
        <v>1.8668791600262491</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2613</v>
      </c>
      <c r="J15" s="186">
        <v>12188</v>
      </c>
      <c r="K15" s="186">
        <v>11566</v>
      </c>
      <c r="L15" s="186">
        <v>3235</v>
      </c>
      <c r="M15" s="186">
        <v>1208</v>
      </c>
      <c r="N15" s="186">
        <v>8376</v>
      </c>
      <c r="O15" s="184">
        <v>15</v>
      </c>
      <c r="P15" s="186">
        <v>358</v>
      </c>
      <c r="Q15" s="186">
        <v>291</v>
      </c>
      <c r="R15" s="186">
        <v>427</v>
      </c>
      <c r="S15" s="186">
        <v>2856</v>
      </c>
      <c r="T15" s="186">
        <v>11257</v>
      </c>
      <c r="U15" s="186">
        <v>11506</v>
      </c>
      <c r="V15" s="186">
        <v>2613</v>
      </c>
      <c r="W15" s="186">
        <v>1390</v>
      </c>
      <c r="X15" s="192">
        <v>7476</v>
      </c>
      <c r="Y15" s="205">
        <v>0</v>
      </c>
      <c r="Z15" s="186">
        <v>0</v>
      </c>
      <c r="AA15" s="186">
        <v>0</v>
      </c>
      <c r="AB15" s="186">
        <v>0</v>
      </c>
      <c r="AC15" s="186">
        <v>0</v>
      </c>
      <c r="AD15" s="186">
        <v>42</v>
      </c>
      <c r="AE15" s="186">
        <v>42</v>
      </c>
      <c r="AF15" s="192">
        <v>0</v>
      </c>
      <c r="AG15" s="205">
        <v>0</v>
      </c>
      <c r="AH15" s="186">
        <v>0</v>
      </c>
      <c r="AI15" s="186">
        <v>0</v>
      </c>
      <c r="AJ15" s="206">
        <v>0</v>
      </c>
      <c r="AK15" s="185">
        <v>0</v>
      </c>
      <c r="AL15" s="186">
        <v>212</v>
      </c>
      <c r="AM15" s="186">
        <v>212</v>
      </c>
      <c r="AN15" s="192">
        <v>0</v>
      </c>
      <c r="AO15" s="262">
        <v>3</v>
      </c>
      <c r="AP15" s="158">
        <v>3</v>
      </c>
      <c r="AQ15" s="158">
        <v>3</v>
      </c>
      <c r="AR15" s="158">
        <v>3</v>
      </c>
      <c r="AS15" s="343" t="s">
        <v>519</v>
      </c>
      <c r="AT15" s="206" t="s">
        <v>326</v>
      </c>
      <c r="AU15" s="205"/>
      <c r="AV15" s="206"/>
      <c r="AW15" s="205"/>
      <c r="AX15" s="206"/>
      <c r="AY15" s="128">
        <f t="shared" ref="AY15:BB16" si="9">IF(ISNUMBER(IF(D_I="SI",S15,S15+AK15)),IF(D_I="SI",S15,S15+AK15)," - ")</f>
        <v>2856</v>
      </c>
      <c r="AZ15" s="129">
        <f t="shared" si="9"/>
        <v>11257</v>
      </c>
      <c r="BA15" s="129">
        <f t="shared" si="9"/>
        <v>11506</v>
      </c>
      <c r="BB15" s="129">
        <f t="shared" si="9"/>
        <v>2613</v>
      </c>
      <c r="BC15" s="125">
        <f>IF(ISNUMBER(W15),W15," - ")</f>
        <v>1390</v>
      </c>
      <c r="BD15" s="126">
        <f>IF(ISNUMBER(BA15/AZ15),BA15/AZ15," - ")</f>
        <v>1.0221195700453052</v>
      </c>
      <c r="BE15" s="127">
        <f>IF(ISNUMBER(BB15/BA15),BB15/BA15, " - ")</f>
        <v>0.22709890491917262</v>
      </c>
      <c r="BF15" s="127">
        <f>IF(ISNUMBER(BC15/BA15),BC15/BA15, " - ")</f>
        <v>0.12080653572049366</v>
      </c>
      <c r="BG15" s="199">
        <f t="shared" ref="BG15:BG16" si="10">IF(ISNUMBER((AY15+AZ15)/BA15),(AY15+AZ15)/BA15," - ")</f>
        <v>1.2265774378585086</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v>
      </c>
      <c r="J16" s="186">
        <v>0</v>
      </c>
      <c r="K16" s="186">
        <v>1</v>
      </c>
      <c r="L16" s="186">
        <v>9</v>
      </c>
      <c r="M16" s="186">
        <v>0</v>
      </c>
      <c r="N16" s="186">
        <v>1</v>
      </c>
      <c r="O16" s="184">
        <v>0</v>
      </c>
      <c r="P16" s="186">
        <v>0</v>
      </c>
      <c r="Q16" s="186">
        <v>0</v>
      </c>
      <c r="R16" s="186">
        <v>2</v>
      </c>
      <c r="S16" s="186">
        <v>10</v>
      </c>
      <c r="T16" s="186">
        <v>0</v>
      </c>
      <c r="U16" s="186">
        <v>1</v>
      </c>
      <c r="V16" s="186">
        <v>9</v>
      </c>
      <c r="W16" s="186">
        <v>0</v>
      </c>
      <c r="X16" s="192">
        <v>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10</v>
      </c>
      <c r="AZ16" s="127">
        <f t="shared" si="9"/>
        <v>0</v>
      </c>
      <c r="BA16" s="127">
        <f t="shared" si="9"/>
        <v>1</v>
      </c>
      <c r="BB16" s="127">
        <f t="shared" si="9"/>
        <v>9</v>
      </c>
      <c r="BC16" s="125">
        <f>IF(ISNUMBER(W16),W16," - ")</f>
        <v>0</v>
      </c>
      <c r="BD16" s="126" t="str">
        <f t="shared" ref="BD16" si="11">IF(ISNUMBER(BA16/AZ16),BA16/AZ16," - ")</f>
        <v xml:space="preserve"> - </v>
      </c>
      <c r="BE16" s="127">
        <f t="shared" ref="BE16" si="12">IF(ISNUMBER(BB16/BA16),BB16/BA16, " - ")</f>
        <v>9</v>
      </c>
      <c r="BF16" s="127">
        <f t="shared" ref="BF16" si="13">IF(ISNUMBER(BC16/BA16),BC16/BA16, " - ")</f>
        <v>0</v>
      </c>
      <c r="BG16" s="199">
        <f t="shared" si="10"/>
        <v>10</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159</v>
      </c>
      <c r="J17" s="186">
        <v>1011</v>
      </c>
      <c r="K17" s="186">
        <v>1012</v>
      </c>
      <c r="L17" s="186">
        <v>158</v>
      </c>
      <c r="M17" s="186">
        <v>275</v>
      </c>
      <c r="N17" s="186">
        <v>526</v>
      </c>
      <c r="O17" s="186">
        <v>36</v>
      </c>
      <c r="P17" s="186">
        <v>64</v>
      </c>
      <c r="Q17" s="186">
        <v>60</v>
      </c>
      <c r="R17" s="186">
        <v>41</v>
      </c>
      <c r="S17" s="186">
        <v>120</v>
      </c>
      <c r="T17" s="186">
        <v>1079</v>
      </c>
      <c r="U17" s="186">
        <v>1009</v>
      </c>
      <c r="V17" s="186">
        <v>159</v>
      </c>
      <c r="W17" s="186">
        <v>247</v>
      </c>
      <c r="X17" s="192">
        <v>663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785</v>
      </c>
      <c r="AT17" s="212"/>
      <c r="AU17" s="203"/>
      <c r="AV17" s="212"/>
      <c r="AW17" s="203"/>
      <c r="AX17" s="212"/>
      <c r="AY17" s="128">
        <f t="shared" ref="AY17:BB17" si="14">IF(ISNUMBER(S17),S17," - ")</f>
        <v>120</v>
      </c>
      <c r="AZ17" s="129">
        <f t="shared" si="14"/>
        <v>1079</v>
      </c>
      <c r="BA17" s="129">
        <f t="shared" si="14"/>
        <v>1009</v>
      </c>
      <c r="BB17" s="129">
        <f t="shared" si="14"/>
        <v>159</v>
      </c>
      <c r="BC17" s="125">
        <f>IF(ISNUMBER(W17),W17," - ")</f>
        <v>247</v>
      </c>
      <c r="BD17" s="126">
        <f>IF(ISNUMBER(BA17/AZ17),BA17/AZ17," - ")</f>
        <v>0.93512511584800739</v>
      </c>
      <c r="BE17" s="127">
        <f>IF(ISNUMBER(BB17/BA17),BB17/BA17, " - ")</f>
        <v>0.15758176412289396</v>
      </c>
      <c r="BF17" s="127">
        <f>IF(ISNUMBER(BC17/BA17),BC17/BA17, " - ")</f>
        <v>0.24479682854311199</v>
      </c>
      <c r="BG17" s="199">
        <f>IF(ISNUMBER((AY17+AZ17)/BA17),(AY17+AZ17)/BA17," - ")</f>
        <v>1.1883052527254707</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2781</v>
      </c>
      <c r="J18" s="187">
        <f t="shared" si="15"/>
        <v>13199</v>
      </c>
      <c r="K18" s="187">
        <f t="shared" si="15"/>
        <v>12579</v>
      </c>
      <c r="L18" s="187">
        <f t="shared" si="15"/>
        <v>3402</v>
      </c>
      <c r="M18" s="187">
        <f t="shared" si="15"/>
        <v>1483</v>
      </c>
      <c r="N18" s="187">
        <f t="shared" si="15"/>
        <v>8903</v>
      </c>
      <c r="O18" s="187">
        <f t="shared" si="15"/>
        <v>51</v>
      </c>
      <c r="P18" s="187">
        <f t="shared" si="15"/>
        <v>422</v>
      </c>
      <c r="Q18" s="187">
        <f t="shared" si="15"/>
        <v>351</v>
      </c>
      <c r="R18" s="187">
        <f t="shared" si="15"/>
        <v>470</v>
      </c>
      <c r="S18" s="187">
        <f t="shared" si="15"/>
        <v>2986</v>
      </c>
      <c r="T18" s="187">
        <f t="shared" si="15"/>
        <v>12336</v>
      </c>
      <c r="U18" s="187">
        <f t="shared" si="15"/>
        <v>12516</v>
      </c>
      <c r="V18" s="187">
        <f t="shared" si="15"/>
        <v>2781</v>
      </c>
      <c r="W18" s="187">
        <f t="shared" si="15"/>
        <v>1637</v>
      </c>
      <c r="X18" s="187">
        <f t="shared" si="15"/>
        <v>8140</v>
      </c>
      <c r="Y18" s="187">
        <f t="shared" si="15"/>
        <v>0</v>
      </c>
      <c r="Z18" s="187">
        <f t="shared" si="15"/>
        <v>0</v>
      </c>
      <c r="AA18" s="187">
        <f t="shared" si="15"/>
        <v>0</v>
      </c>
      <c r="AB18" s="187">
        <f t="shared" si="15"/>
        <v>0</v>
      </c>
      <c r="AC18" s="187">
        <f t="shared" si="15"/>
        <v>0</v>
      </c>
      <c r="AD18" s="187">
        <f t="shared" si="15"/>
        <v>42</v>
      </c>
      <c r="AE18" s="187">
        <f t="shared" si="15"/>
        <v>42</v>
      </c>
      <c r="AF18" s="187">
        <f t="shared" si="15"/>
        <v>0</v>
      </c>
      <c r="AG18" s="187">
        <f t="shared" si="15"/>
        <v>0</v>
      </c>
      <c r="AH18" s="187">
        <f t="shared" si="15"/>
        <v>0</v>
      </c>
      <c r="AI18" s="187">
        <f t="shared" si="15"/>
        <v>0</v>
      </c>
      <c r="AJ18" s="187">
        <f t="shared" si="15"/>
        <v>0</v>
      </c>
      <c r="AK18" s="187">
        <f t="shared" si="15"/>
        <v>0</v>
      </c>
      <c r="AL18" s="187">
        <f t="shared" si="15"/>
        <v>212</v>
      </c>
      <c r="AM18" s="187">
        <f t="shared" si="15"/>
        <v>212</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2986</v>
      </c>
      <c r="AZ18" s="187">
        <f>SUBTOTAL(9,AZ14:AZ17)</f>
        <v>12336</v>
      </c>
      <c r="BA18" s="187">
        <f>SUBTOTAL(9,BA14:BA17)</f>
        <v>12516</v>
      </c>
      <c r="BB18" s="187">
        <f>SUBTOTAL(9,BB14:BB17)</f>
        <v>2781</v>
      </c>
      <c r="BC18" s="187">
        <f>SUBTOTAL(9,BC14:BC17)</f>
        <v>1637</v>
      </c>
      <c r="BD18" s="208">
        <f>IF(ISNUMBER(BA18/AZ18),BA18/AZ18," - ")</f>
        <v>1.0145914396887159</v>
      </c>
      <c r="BE18" s="209">
        <f>IF(ISNUMBER(BB18/BA18),BB18/BA18, " - ")</f>
        <v>0.22219558964525407</v>
      </c>
      <c r="BF18" s="209">
        <f>IF(ISNUMBER(BC18/BA18),BC18/BA18, " - ")</f>
        <v>0.13079258549057207</v>
      </c>
      <c r="BG18" s="210">
        <f>IF(ISNUMBER((AY18+AZ18)/BA18),(AY18+AZ18)/BA18," - ")</f>
        <v>1.2241930329178652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11549</v>
      </c>
      <c r="J19" s="134">
        <f t="shared" si="18"/>
        <v>26465</v>
      </c>
      <c r="K19" s="134">
        <f t="shared" si="18"/>
        <v>23573</v>
      </c>
      <c r="L19" s="134">
        <f t="shared" si="18"/>
        <v>14288</v>
      </c>
      <c r="M19" s="134">
        <f t="shared" si="18"/>
        <v>3637</v>
      </c>
      <c r="N19" s="134">
        <f t="shared" si="18"/>
        <v>15367</v>
      </c>
      <c r="O19" s="134">
        <f t="shared" si="18"/>
        <v>2933</v>
      </c>
      <c r="P19" s="134">
        <f t="shared" si="18"/>
        <v>2322</v>
      </c>
      <c r="Q19" s="134">
        <f t="shared" si="18"/>
        <v>1359</v>
      </c>
      <c r="R19" s="134">
        <f t="shared" si="18"/>
        <v>11772</v>
      </c>
      <c r="S19" s="134">
        <f t="shared" si="18"/>
        <v>10751</v>
      </c>
      <c r="T19" s="134">
        <f t="shared" si="18"/>
        <v>23864</v>
      </c>
      <c r="U19" s="134">
        <f t="shared" si="18"/>
        <v>22764</v>
      </c>
      <c r="V19" s="134">
        <f t="shared" si="18"/>
        <v>11549</v>
      </c>
      <c r="W19" s="134">
        <f t="shared" si="18"/>
        <v>3730</v>
      </c>
      <c r="X19" s="134">
        <f t="shared" si="18"/>
        <v>12706</v>
      </c>
      <c r="Y19" s="134">
        <f t="shared" si="18"/>
        <v>193</v>
      </c>
      <c r="Z19" s="134">
        <f t="shared" si="18"/>
        <v>461</v>
      </c>
      <c r="AA19" s="134">
        <f t="shared" si="18"/>
        <v>319</v>
      </c>
      <c r="AB19" s="134">
        <f t="shared" si="18"/>
        <v>347</v>
      </c>
      <c r="AC19" s="134">
        <f t="shared" si="18"/>
        <v>0</v>
      </c>
      <c r="AD19" s="134">
        <f t="shared" si="18"/>
        <v>42</v>
      </c>
      <c r="AE19" s="134">
        <f t="shared" si="18"/>
        <v>42</v>
      </c>
      <c r="AF19" s="134">
        <f t="shared" si="18"/>
        <v>0</v>
      </c>
      <c r="AG19" s="134">
        <f t="shared" si="18"/>
        <v>173</v>
      </c>
      <c r="AH19" s="134">
        <f t="shared" si="18"/>
        <v>448</v>
      </c>
      <c r="AI19" s="134">
        <f t="shared" si="18"/>
        <v>419</v>
      </c>
      <c r="AJ19" s="134">
        <f t="shared" si="18"/>
        <v>193</v>
      </c>
      <c r="AK19" s="134">
        <f t="shared" si="18"/>
        <v>0</v>
      </c>
      <c r="AL19" s="134">
        <f t="shared" si="18"/>
        <v>212</v>
      </c>
      <c r="AM19" s="134">
        <f t="shared" si="18"/>
        <v>212</v>
      </c>
      <c r="AN19" s="213">
        <f t="shared" si="18"/>
        <v>0</v>
      </c>
      <c r="AO19" s="214">
        <v>9</v>
      </c>
      <c r="AP19" s="214">
        <v>9</v>
      </c>
      <c r="AQ19" s="214">
        <v>9</v>
      </c>
      <c r="AR19" s="214">
        <v>9</v>
      </c>
      <c r="AS19" s="156">
        <f t="shared" si="18"/>
        <v>0</v>
      </c>
      <c r="AT19" s="156">
        <f t="shared" si="18"/>
        <v>0</v>
      </c>
      <c r="AU19" s="214"/>
      <c r="AV19" s="215"/>
      <c r="AW19" s="214"/>
      <c r="AX19" s="215"/>
      <c r="AY19" s="133">
        <f>SUBTOTAL(9,AY9:AY18)</f>
        <v>10924</v>
      </c>
      <c r="AZ19" s="134">
        <f>SUBTOTAL(9,AZ9:AZ18)</f>
        <v>24312</v>
      </c>
      <c r="BA19" s="134">
        <f>SUBTOTAL(9,BA9:BA18)</f>
        <v>23183</v>
      </c>
      <c r="BB19" s="134">
        <f>SUBTOTAL(9,BB9:BB18)</f>
        <v>11742</v>
      </c>
      <c r="BC19" s="135">
        <f>SUBTOTAL(9,BC9:BC18)</f>
        <v>6198</v>
      </c>
      <c r="BD19" s="216">
        <f>IF(ISNUMBER(BA19/AZ19),BA19/AZ19," - ")</f>
        <v>0.9535620269825601</v>
      </c>
      <c r="BE19" s="213">
        <f>IF(ISNUMBER(BB19/BA19),BB19/BA19, " - ")</f>
        <v>0.50649182590691455</v>
      </c>
      <c r="BF19" s="213">
        <f>IF(ISNUMBER(BC19/BA19),BC19/BA19, " - ")</f>
        <v>0.26735107621964371</v>
      </c>
      <c r="BG19" s="135">
        <f>IF(ISNUMBER((AY19+AZ19)/BA19),(AY19+AZ19)/BA19," - ")</f>
        <v>1.5199068282793426</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kyVu6K7eREanFbuQCJ9nqZjwFsn93nhWR4ML4I2mHYx4g07+zRzHO6uU/fxrBTejnPoj9f38i19Upku+h+dCg==" saltValue="x2ZYAfMeffq0fDtAMqH2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KjsX9rVpc6Ke7Dt8I+piOYFL+ENlE3WJIdK0zsi7PNcBX7KNP7l86XC76JkL9OPGddDzOHs4wPmQETU68VKnA==" saltValue="WI1jIl2qLStUF27yBbyT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SAN BARTOLOME DE TIRAJANA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461</v>
      </c>
      <c r="O9" s="337"/>
      <c r="P9" s="337"/>
      <c r="Q9" s="229">
        <f>IF(ISNUMBER(Datos!P9),Datos!P9,0)</f>
        <v>1890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985</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347</v>
      </c>
      <c r="AI9" s="337" t="str">
        <f>IF(ISNUMBER(Datos!CD9),Datos!CD9,"-")</f>
        <v>-</v>
      </c>
      <c r="AJ9" s="337" t="str">
        <f>IF(ISNUMBER(Datos!EN9),Datos!EN9," - ")</f>
        <v xml:space="preserve"> - </v>
      </c>
      <c r="AK9" s="337"/>
      <c r="AL9" s="482"/>
      <c r="AM9" s="338">
        <f>IF(ISNUMBER(Datos!R9),Datos!R9," - ")</f>
        <v>10641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2102</v>
      </c>
      <c r="BD9" s="232">
        <f>IF(ISNUMBER(Datos!N9),Datos!N9," - ")</f>
        <v>6414</v>
      </c>
      <c r="BE9" s="232" t="str">
        <f>IF(ISNUMBER(Datos!BW9),Datos!BW9," - ")</f>
        <v xml:space="preserve"> - </v>
      </c>
      <c r="BF9" s="231" t="str">
        <f>IF(ISNUMBER(Datos!BX9),Datos!BX9," - ")</f>
        <v xml:space="preserve"> - </v>
      </c>
      <c r="BG9" s="246">
        <f>IF(ISNUMBER(IF(J_V="SI",Datos!K9/Datos!J9,(Datos!K9+Datos!AA9)/(Datos!J9+Datos!Z9))),IF(J_V="SI",Datos!K9/Datos!J9,(Datos!K9+Datos!AA9)/(Datos!J9+Datos!Z9))," - ")</f>
        <v>0.82272058823529415</v>
      </c>
      <c r="BH9" s="263">
        <f>IF(ISNUMBER(((IF(J_V="SI",Datos!L9/Datos!K9,(Datos!L9+Datos!AB9)/(Datos!K9+Datos!AA9)))*11)/factor_trimestre),((IF(J_V="SI",Datos!L9/Datos!K9,(Datos!L9+Datos!AB9)/(Datos!K9+Datos!AA9)))*11)/factor_trimestre," - ")</f>
        <v>10.947895254267586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9.2953985209531631E-2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88</v>
      </c>
      <c r="G10" s="336">
        <f>IF(ISNUMBER(Datos!I10),Datos!I10," - ")</f>
        <v>88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124</v>
      </c>
      <c r="AC10" s="229">
        <f>IF(ISNUMBER(Datos!Q10),Datos!Q10," - ")</f>
        <v>12</v>
      </c>
      <c r="AD10" s="337"/>
      <c r="AE10" s="487"/>
      <c r="AF10" s="335">
        <f>IF(ISNUMBER(Datos!L10),Datos!L10,"-")</f>
        <v>91</v>
      </c>
      <c r="AG10" s="337"/>
      <c r="AH10" s="337"/>
      <c r="AI10" s="337"/>
      <c r="AJ10" s="337"/>
      <c r="AK10" s="337"/>
      <c r="AL10" s="482"/>
      <c r="AM10" s="338">
        <f>IF(ISNUMBER(Datos!R10),Datos!R10," - ")</f>
        <v>43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52</v>
      </c>
      <c r="BD10" s="232">
        <f>IF(ISNUMBER(Datos!N10),Datos!N10," - ")</f>
        <v>50</v>
      </c>
      <c r="BE10" s="232" t="str">
        <f>IF(ISNUMBER(Datos!BW10),Datos!BW10," - ")</f>
        <v xml:space="preserve"> - </v>
      </c>
      <c r="BF10" s="231" t="str">
        <f>IF(ISNUMBER(Datos!BX10),Datos!BX10," - ")</f>
        <v xml:space="preserve"> - </v>
      </c>
      <c r="BG10" s="246">
        <f>IF(ISNUMBER(Datos!K10/Datos!J10),Datos!K10/Datos!J10," - ")</f>
        <v>0.97637795275590555</v>
      </c>
      <c r="BH10" s="263">
        <f>IF(ISNUMBER(((Datos!L10/Datos!K10)*11)/factor_trimestre),((Datos!L10/Datos!K10)*11)/factor_trimestre," - ")</f>
        <v>8.07258064516129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-4.4444444444444446E-2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618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-1.7488076311605722E-2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88</v>
      </c>
      <c r="G13" s="901">
        <f t="shared" si="0"/>
        <v>88</v>
      </c>
      <c r="H13" s="902">
        <f t="shared" si="0"/>
        <v>0</v>
      </c>
      <c r="I13" s="901">
        <f t="shared" si="0"/>
        <v>0</v>
      </c>
      <c r="J13" s="870">
        <f t="shared" si="0"/>
        <v>0</v>
      </c>
      <c r="K13" s="870">
        <f t="shared" si="0"/>
        <v>0</v>
      </c>
      <c r="L13" s="902">
        <f t="shared" si="0"/>
        <v>0</v>
      </c>
      <c r="M13" s="902">
        <f t="shared" si="0"/>
        <v>0</v>
      </c>
      <c r="N13" s="902">
        <f t="shared" si="0"/>
        <v>461</v>
      </c>
      <c r="O13" s="903">
        <f t="shared" si="0"/>
        <v>0</v>
      </c>
      <c r="P13" s="903">
        <f t="shared" si="0"/>
        <v>0</v>
      </c>
      <c r="Q13" s="902">
        <f t="shared" si="0"/>
        <v>1900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124</v>
      </c>
      <c r="AC13" s="902">
        <f t="shared" si="1"/>
        <v>1008</v>
      </c>
      <c r="AD13" s="902">
        <f t="shared" si="1"/>
        <v>0</v>
      </c>
      <c r="AE13" s="902">
        <f t="shared" si="1"/>
        <v>0</v>
      </c>
      <c r="AF13" s="902">
        <f t="shared" si="1"/>
        <v>91</v>
      </c>
      <c r="AG13" s="902">
        <f t="shared" si="1"/>
        <v>0</v>
      </c>
      <c r="AH13" s="902">
        <f t="shared" si="1"/>
        <v>347</v>
      </c>
      <c r="AI13" s="902">
        <f t="shared" si="1"/>
        <v>0</v>
      </c>
      <c r="AJ13" s="902">
        <f t="shared" si="1"/>
        <v>0</v>
      </c>
      <c r="AK13" s="902">
        <f t="shared" si="1"/>
        <v>0</v>
      </c>
      <c r="AL13" s="902">
        <f t="shared" si="1"/>
        <v>0</v>
      </c>
      <c r="AM13" s="902">
        <f t="shared" si="1"/>
        <v>11302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2154</v>
      </c>
      <c r="BD13" s="902">
        <f t="shared" si="1"/>
        <v>6464</v>
      </c>
      <c r="BE13" s="902">
        <f t="shared" si="1"/>
        <v>0</v>
      </c>
      <c r="BF13" s="902">
        <f t="shared" si="1"/>
        <v>0</v>
      </c>
      <c r="BG13" s="902">
        <f>IF(ISNUMBER(Datos!K13/Datos!J13),Datos!K13/Datos!J13," - ")</f>
        <v>0.82873511231720187</v>
      </c>
      <c r="BH13" s="906">
        <f>IF(ISNUMBER(((Datos!L13/Datos!K13)*11)/factor_trimestre),((Datos!L13/Datos!K13)*11)/factor_trimestre," - ")</f>
        <v>10.891941058759324</v>
      </c>
      <c r="BI13" s="902">
        <f>IF(ISNUMBER('Resol  Asuntos'!D13/NºAsuntos!G13),'Resol  Asuntos'!D13/NºAsuntos!G13," - ")</f>
        <v>0.19040042429063908</v>
      </c>
      <c r="BJ13" s="902" t="str">
        <f>IF(ISNUMBER(Datos!CI13/Datos!CJ13),Datos!CI13/Datos!CJ13," - ")</f>
        <v xml:space="preserve"> - </v>
      </c>
      <c r="BK13" s="902">
        <f>SUBTOTAL(9,BK8:BK12)</f>
        <v>0</v>
      </c>
      <c r="BL13" s="902">
        <f>IF(ISNUMBER((I13-AB13+L13)/(F13)),(I13-AB13+L13)/(F13)," - ")</f>
        <v>-1.4090909090909092</v>
      </c>
      <c r="BM13" s="907">
        <f>SUBTOTAL(9,BM9:BM12)</f>
        <v>3.1021464453481463E-2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2613</v>
      </c>
      <c r="G15" s="601">
        <f>IF(ISNUMBER(IF(D_I="SI",Datos!I15,Datos!I15+Datos!AC15)),IF(D_I="SI",Datos!I15,Datos!I15+Datos!AC15)," - ")</f>
        <v>2613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358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11566</v>
      </c>
      <c r="AC15" s="229">
        <f>IF(ISNUMBER(Datos!Q15),Datos!Q15," - ")</f>
        <v>291</v>
      </c>
      <c r="AD15" s="337"/>
      <c r="AE15" s="487"/>
      <c r="AF15" s="599">
        <f>IF(ISNUMBER(IF(D_I="SI",Datos!L15,Datos!L15+Datos!AF15)),IF(D_I="SI",Datos!L15,Datos!L15+Datos!AF15)," - ")</f>
        <v>3235</v>
      </c>
      <c r="AG15" s="337"/>
      <c r="AH15" s="337"/>
      <c r="AI15" s="337"/>
      <c r="AJ15" s="337"/>
      <c r="AK15" s="337"/>
      <c r="AL15" s="482"/>
      <c r="AM15" s="338">
        <f>IF(ISNUMBER(Datos!R15),Datos!R15," - ")</f>
        <v>427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1208</v>
      </c>
      <c r="BD15" s="232">
        <f>IF(ISNUMBER(Datos!N15),Datos!N15," - ")</f>
        <v>8376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0.948966196258615</v>
      </c>
      <c r="BH15" s="263">
        <f>IF(ISNUMBER(((IF(D_I="SI",Datos!L15/Datos!K15,(Datos!L15+Datos!AF15)/(Datos!K15+Datos!AE15)))*11)/factor_trimestre),((IF(D_I="SI",Datos!L15/Datos!K15,(Datos!L15+Datos!AF15)/(Datos!K15+Datos!AE15)))*11)/factor_trimestre," - ")</f>
        <v>3.076690299152689</v>
      </c>
      <c r="BI15" s="246">
        <f>IF(ISNUMBER('Resol  Asuntos'!D15/NºAsuntos!G15),'Resol  Asuntos'!D15/NºAsuntos!G15," - ")</f>
        <v>0.10444406017637904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10</v>
      </c>
      <c r="G16" s="601">
        <f>IF(ISNUMBER(IF(D_I="SI",Datos!I16,Datos!I16+Datos!AC16)),IF(D_I="SI",Datos!I16,Datos!I16+Datos!AC16)," - ")</f>
        <v>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v>
      </c>
      <c r="AC16" s="229">
        <f>IF(ISNUMBER(Datos!Q16),Datos!Q16," - ")</f>
        <v>0</v>
      </c>
      <c r="AD16" s="337"/>
      <c r="AE16" s="487"/>
      <c r="AF16" s="599">
        <f>IF(ISNUMBER(IF(D_I="SI",Datos!L16,Datos!L16+Datos!AF16)),IF(D_I="SI",Datos!L16,Datos!L16+Datos!AF16)," - ")</f>
        <v>9</v>
      </c>
      <c r="AG16" s="337"/>
      <c r="AH16" s="337"/>
      <c r="AI16" s="337"/>
      <c r="AJ16" s="337"/>
      <c r="AK16" s="337"/>
      <c r="AL16" s="482"/>
      <c r="AM16" s="338">
        <f>IF(ISNUMBER(Datos!R16),Datos!R16," - ")</f>
        <v>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1</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f>IF(ISNUMBER(((IF(D_I="SI",Datos!L16/Datos!K16,(Datos!L16+Datos!AF16)/(Datos!K16+Datos!AE16)))*11)/factor_trimestre),((IF(D_I="SI",Datos!L16/Datos!K16,(Datos!L16+Datos!AF16)/(Datos!K16+Datos!AE16)))*11)/factor_trimestre," - ")</f>
        <v>99</v>
      </c>
      <c r="BI16" s="246">
        <f>IF(ISNUMBER('Resol  Asuntos'!D16/NºAsuntos!G16),'Resol  Asuntos'!D16/NºAsuntos!G16," - ")</f>
        <v>0</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159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1012</v>
      </c>
      <c r="AC17" s="229">
        <f>IF(ISNUMBER(Datos!Q17),Datos!Q17," - ")</f>
        <v>60</v>
      </c>
      <c r="AD17" s="337"/>
      <c r="AE17" s="487"/>
      <c r="AF17" s="335">
        <f>IF(ISNUMBER(Datos!L17),Datos!L17,"-")</f>
        <v>158</v>
      </c>
      <c r="AG17" s="337"/>
      <c r="AH17" s="337"/>
      <c r="AI17" s="337"/>
      <c r="AJ17" s="337"/>
      <c r="AK17" s="337"/>
      <c r="AL17" s="482"/>
      <c r="AM17" s="338">
        <f>IF(ISNUMBER(Datos!R17),Datos!R17," - ")</f>
        <v>41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275</v>
      </c>
      <c r="BD17" s="232">
        <f>IF(ISNUMBER(Datos!N17),Datos!N17," - ")</f>
        <v>526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1.0009891196834817</v>
      </c>
      <c r="BH17" s="263">
        <f>IF(ISNUMBER(((IF(D_I="SI",Datos!L17/Datos!K17,(Datos!L17+Datos!AF17)/(Datos!K17+Datos!AE17)))*11)/factor_trimestre),((IF(D_I="SI",Datos!L17/Datos!K17,(Datos!L17+Datos!AF17)/(Datos!K17+Datos!AE17)))*11)/factor_trimestre," - ")</f>
        <v>1.7173913043478259</v>
      </c>
      <c r="BI17" s="246">
        <f>IF(ISNUMBER('Resol  Asuntos'!D17/NºAsuntos!G17),'Resol  Asuntos'!D17/NºAsuntos!G17," - ")</f>
        <v>0.27173913043478259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2623</v>
      </c>
      <c r="G18" s="901">
        <f>SUBTOTAL(9,G15:G17)</f>
        <v>2781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12579</v>
      </c>
      <c r="AC18" s="902">
        <f t="shared" si="4"/>
        <v>351</v>
      </c>
      <c r="AD18" s="902">
        <f t="shared" si="4"/>
        <v>0</v>
      </c>
      <c r="AE18" s="902">
        <f t="shared" si="4"/>
        <v>0</v>
      </c>
      <c r="AF18" s="902">
        <f t="shared" si="4"/>
        <v>3402</v>
      </c>
      <c r="AG18" s="902">
        <f t="shared" si="4"/>
        <v>0</v>
      </c>
      <c r="AH18" s="902">
        <f t="shared" si="4"/>
        <v>0</v>
      </c>
      <c r="AI18" s="902">
        <f t="shared" si="4"/>
        <v>0</v>
      </c>
      <c r="AJ18" s="902">
        <f t="shared" si="4"/>
        <v>0</v>
      </c>
      <c r="AK18" s="902">
        <f t="shared" si="4"/>
        <v>0</v>
      </c>
      <c r="AL18" s="902">
        <f t="shared" si="4"/>
        <v>0</v>
      </c>
      <c r="AM18" s="902">
        <f t="shared" si="4"/>
        <v>470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1483</v>
      </c>
      <c r="BD18" s="902">
        <f t="shared" si="4"/>
        <v>8903</v>
      </c>
      <c r="BE18" s="902">
        <f t="shared" si="4"/>
        <v>0</v>
      </c>
      <c r="BF18" s="902">
        <f t="shared" si="4"/>
        <v>0</v>
      </c>
      <c r="BG18" s="902">
        <f>IF(ISNUMBER(Datos!K18/Datos!J18),Datos!K18/Datos!J18," - ")</f>
        <v>0.95302674445033719</v>
      </c>
      <c r="BH18" s="906">
        <f>IF(ISNUMBER(((Datos!L18/Datos!K18)*11)/factor_trimestre),((Datos!L18/Datos!K18)*11)/factor_trimestre," - ")</f>
        <v>2.9749582637729546</v>
      </c>
      <c r="BI18" s="902">
        <f>SUBTOTAL(9,BI15:BI17)</f>
        <v>0.37618319061116162</v>
      </c>
      <c r="BJ18" s="902">
        <f>SUBTOTAL(9,BJ15:BJ17)</f>
        <v>0</v>
      </c>
      <c r="BK18" s="902">
        <f>SUBTOTAL(9,BK15:BK17)</f>
        <v>0</v>
      </c>
      <c r="BL18" s="902">
        <f>IF(ISNUMBER((I18-AB18+L18)/(F18)),(I18-AB18+L18)/(F18)," - ")</f>
        <v>-4.7956538314906592</v>
      </c>
      <c r="BM18" s="908">
        <f>IF(ISNUMBER((Datos!P18-Datos!Q18)/(Datos!R18-Datos!P18+Datos!Q18)),(Datos!P18-Datos!Q18)/(Datos!R18-Datos!P18+Datos!Q18)," - ")</f>
        <v>0.17794486215538846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2711</v>
      </c>
      <c r="G19" s="823">
        <f t="shared" si="6"/>
        <v>2869</v>
      </c>
      <c r="H19" s="825">
        <f t="shared" si="6"/>
        <v>0</v>
      </c>
      <c r="I19" s="823">
        <f t="shared" si="6"/>
        <v>0</v>
      </c>
      <c r="J19" s="825">
        <f t="shared" si="6"/>
        <v>0</v>
      </c>
      <c r="K19" s="825">
        <f t="shared" si="6"/>
        <v>0</v>
      </c>
      <c r="L19" s="884">
        <f t="shared" si="6"/>
        <v>0</v>
      </c>
      <c r="M19" s="884">
        <f t="shared" si="6"/>
        <v>0</v>
      </c>
      <c r="N19" s="884">
        <f t="shared" si="6"/>
        <v>461</v>
      </c>
      <c r="O19" s="884">
        <f t="shared" si="6"/>
        <v>0</v>
      </c>
      <c r="P19" s="884">
        <f t="shared" si="6"/>
        <v>0</v>
      </c>
      <c r="Q19" s="825">
        <f t="shared" si="6"/>
        <v>2322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12703</v>
      </c>
      <c r="AC19" s="824">
        <f t="shared" si="7"/>
        <v>1359</v>
      </c>
      <c r="AD19" s="824">
        <f t="shared" si="7"/>
        <v>0</v>
      </c>
      <c r="AE19" s="824">
        <f t="shared" si="7"/>
        <v>0</v>
      </c>
      <c r="AF19" s="831">
        <f t="shared" si="7"/>
        <v>3493</v>
      </c>
      <c r="AG19" s="831">
        <f t="shared" si="7"/>
        <v>0</v>
      </c>
      <c r="AH19" s="831">
        <f t="shared" si="7"/>
        <v>347</v>
      </c>
      <c r="AI19" s="831">
        <f t="shared" si="7"/>
        <v>0</v>
      </c>
      <c r="AJ19" s="824">
        <f t="shared" si="7"/>
        <v>0</v>
      </c>
      <c r="AK19" s="831">
        <f t="shared" si="7"/>
        <v>0</v>
      </c>
      <c r="AL19" s="831">
        <f t="shared" si="7"/>
        <v>0</v>
      </c>
      <c r="AM19" s="831">
        <f t="shared" si="7"/>
        <v>11772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3637</v>
      </c>
      <c r="BD19" s="823">
        <f t="shared" si="7"/>
        <v>15367</v>
      </c>
      <c r="BE19" s="823">
        <f t="shared" si="7"/>
        <v>0</v>
      </c>
      <c r="BF19" s="833">
        <f t="shared" si="7"/>
        <v>0</v>
      </c>
      <c r="BG19" s="918">
        <f>IF(ISNUMBER(Datos!K19/Datos!J19),Datos!K19/Datos!J19," - ")</f>
        <v>0.89072359720385419</v>
      </c>
      <c r="BH19" s="918">
        <f>IF(ISNUMBER(((Datos!L19/Datos!K19)*11)/factor_trimestre),((Datos!L19/Datos!K19)*11)/factor_trimestre," - ")</f>
        <v>6.6672888474101732</v>
      </c>
      <c r="BI19" s="816">
        <f>IF(ISNUMBER(Datos!J19/Datos!I19),Datos!J19/Datos!I19," - ")</f>
        <v>2.2915403931076286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-4.6857248247879015</v>
      </c>
      <c r="BM19" s="892">
        <f>IF(ISNUMBER((Datos!P19-Datos!Q19+R19)/(Datos!R19-Datos!P19+Datos!Q19-R19)),(Datos!P19-Datos!Q19+R19)/(Datos!R19-Datos!P19+Datos!Q19-R19)," - ")</f>
        <v>8.9092422980849295E-2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956.33333333333337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2.3333333333333335</v>
      </c>
      <c r="F21" s="554">
        <f>IF(ISNUMBER(STDEV(F8:F18)),STDEV(F8:F18),"-")</f>
        <v>1400.3454216728101</v>
      </c>
      <c r="G21" s="555">
        <f>IF(ISNUMBER(STDEV(G8:G18)),STDEV(G8:G18),"-")</f>
        <v>1350.1954920183471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6090.6653385871286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939.68972842863707</v>
      </c>
      <c r="BD21" s="554"/>
      <c r="BE21" s="554">
        <f>IF(ISNUMBER(STDEV(BE8:BE18)),STDEV(BE8:BE18),"-")</f>
        <v>0</v>
      </c>
      <c r="BF21" s="559">
        <f>IF(ISNUMBER(STDEV(BF8:BF18)),STDEV(BF8:BF18),"-")</f>
        <v>0</v>
      </c>
      <c r="BG21" s="778">
        <f>IF(ISNUMBER(STDEV(BG8:BG18)),STDEV(BG8:BG18),"-")</f>
        <v>7.6734066105345236E-2</v>
      </c>
      <c r="BH21" s="779">
        <f>IF(ISNUMBER(STDEV(BH8:BH18)),STDEV(BH8:BH18),"-")</f>
        <v>35.254058067993626</v>
      </c>
      <c r="BI21" s="252">
        <f>IF(ISNUMBER(STDEV(BI8:BI18)),STDEV(BI8:BI18),"-")</f>
        <v>0.14556354391519588</v>
      </c>
      <c r="BJ21" s="233" t="str">
        <f>IF(ISNUMBER(BL21/BM21),BL21/BM21," - ")</f>
        <v xml:space="preserve"> - </v>
      </c>
      <c r="BK21" s="578"/>
      <c r="BL21" s="562">
        <f>IF(ISNUMBER(STDEV(BL8:BL18)),STDEV(BL8:BL18),"-")</f>
        <v>2.394661607343795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7R4gCrmV8ZMOYhmHpfF+TkifJvgEoy8EUNjcxWY8890IgSupWuCnEaOT6I8f7/TBCOJfKTGUccfvz0GVaQDFzA==" saltValue="psYH3nXs8bE86dRK/hB7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SAN BARTOLOME DE TIRAJANA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1890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985</v>
      </c>
      <c r="AA9" s="335" t="str">
        <f>IF(ISNUMBER(IF(J_V="SI",Datos!L9,Datos!L9+Datos!AB9)-IF(Monitorios="SI",Datos!CD9,0)),
                          IF(J_V="SI",Datos!L9,Datos!L9+Datos!AB9)-IF(Monitorios="SI",Datos!CD9,0),
                          " - ")</f>
        <v xml:space="preserve"> - </v>
      </c>
      <c r="AB9" s="337"/>
      <c r="AC9" s="337"/>
      <c r="AD9" s="487"/>
      <c r="AE9" s="487">
        <f>IF(ISNUMBER(Datos!R9),Datos!R9," - ")</f>
        <v>10641</v>
      </c>
      <c r="AF9" s="232" t="str">
        <f>IF(ISNUMBER(Datos!BV9),Datos!BV9," - ")</f>
        <v xml:space="preserve"> - </v>
      </c>
      <c r="AG9" s="228" t="str">
        <f>IF(ISNUMBER(Datos!DV9),Datos!DV9," - ")</f>
        <v xml:space="preserve"> - </v>
      </c>
      <c r="AH9" s="301"/>
      <c r="AI9" s="230"/>
      <c r="AJ9" s="228">
        <f>IF(ISNUMBER(Datos!M9),Datos!M9," - ")</f>
        <v>2102</v>
      </c>
      <c r="AK9" s="232">
        <f>IF(ISNUMBER(Datos!N9),Datos!N9," - ")</f>
        <v>6414</v>
      </c>
      <c r="AL9" s="232" t="str">
        <f>IF(ISNUMBER(Datos!BW9),Datos!BW9," - ")</f>
        <v xml:space="preserve"> - </v>
      </c>
      <c r="AM9" s="231" t="str">
        <f>IF(ISNUMBER(Datos!BX9),Datos!BX9," - ")</f>
        <v xml:space="preserve"> - </v>
      </c>
      <c r="AN9" s="246"/>
      <c r="AO9" s="263">
        <f>IF(ISNUMBER(((NºAsuntos!I9/NºAsuntos!G9)*11)/factor_trimestre),((NºAsuntos!I9/NºAsuntos!G9)*11)/factor_trimestre," - ")</f>
        <v>10.947895254267586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9.2953985209531631E-2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88</v>
      </c>
      <c r="G10" s="228">
        <f>IF(ISNUMBER(Datos!I10),Datos!I10," - ")</f>
        <v>88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124</v>
      </c>
      <c r="Z10" s="622">
        <f>IF(ISNUMBER(Datos!Q10),Datos!Q10," - ")</f>
        <v>12</v>
      </c>
      <c r="AA10" s="335">
        <f>IF(ISNUMBER(Datos!L10),Datos!L10,"-")</f>
        <v>91</v>
      </c>
      <c r="AB10" s="337"/>
      <c r="AC10" s="337"/>
      <c r="AD10" s="487"/>
      <c r="AE10" s="487">
        <f>IF(ISNUMBER(Datos!R10),Datos!R10," - ")</f>
        <v>43</v>
      </c>
      <c r="AF10" s="232" t="str">
        <f>IF(ISNUMBER(Datos!BV10),Datos!BV10," - ")</f>
        <v xml:space="preserve"> - </v>
      </c>
      <c r="AG10" s="228" t="str">
        <f>IF(ISNUMBER(Datos!DV10),Datos!DV10," - ")</f>
        <v xml:space="preserve"> - </v>
      </c>
      <c r="AH10" s="301"/>
      <c r="AI10" s="230"/>
      <c r="AJ10" s="228">
        <f>IF(ISNUMBER(Datos!M10),Datos!M10," - ")</f>
        <v>52</v>
      </c>
      <c r="AK10" s="232">
        <f>IF(ISNUMBER(Datos!N10),Datos!N10," - ")</f>
        <v>50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8.07258064516129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-4.4444444444444446E-2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v>
      </c>
      <c r="AA12" s="335" t="str">
        <f>IF(ISNUMBER(IF(J_V="SI",Datos!L12,Datos!L12+Datos!AB12)-IF(Monitorios="SI",Datos!CD12,0)),
                          IF(J_V="SI",Datos!L12,Datos!L12+Datos!AB12)-IF(Monitorios="SI",Datos!CD12,0),
                          " - ")</f>
        <v xml:space="preserve"> - </v>
      </c>
      <c r="AB12" s="337"/>
      <c r="AC12" s="337"/>
      <c r="AD12" s="487"/>
      <c r="AE12" s="487">
        <f>IF(ISNUMBER(Datos!R12),Datos!R12," - ")</f>
        <v>618</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-1.7488076311605722E-2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88</v>
      </c>
      <c r="G13" s="901">
        <f>SUBTOTAL(9,G8:G12)</f>
        <v>88</v>
      </c>
      <c r="H13" s="911"/>
      <c r="I13" s="901">
        <f t="shared" ref="I13:N13" si="0">SUBTOTAL(9,I8:I12)</f>
        <v>0</v>
      </c>
      <c r="J13" s="870">
        <f t="shared" si="0"/>
        <v>0</v>
      </c>
      <c r="K13" s="911">
        <f t="shared" si="0"/>
        <v>0</v>
      </c>
      <c r="L13" s="911">
        <f t="shared" si="0"/>
        <v>0</v>
      </c>
      <c r="M13" s="911">
        <f t="shared" si="0"/>
        <v>0</v>
      </c>
      <c r="N13" s="911">
        <f t="shared" si="0"/>
        <v>1900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124</v>
      </c>
      <c r="Z13" s="910">
        <f t="shared" si="2"/>
        <v>1008</v>
      </c>
      <c r="AA13" s="903">
        <f t="shared" si="2"/>
        <v>91</v>
      </c>
      <c r="AB13" s="903">
        <f t="shared" si="2"/>
        <v>0</v>
      </c>
      <c r="AC13" s="903">
        <f t="shared" si="2"/>
        <v>0</v>
      </c>
      <c r="AD13" s="903">
        <f t="shared" si="2"/>
        <v>0</v>
      </c>
      <c r="AE13" s="903">
        <f t="shared" si="2"/>
        <v>11302</v>
      </c>
      <c r="AF13" s="911">
        <f t="shared" si="2"/>
        <v>0</v>
      </c>
      <c r="AG13" s="911">
        <f t="shared" si="2"/>
        <v>0</v>
      </c>
      <c r="AH13" s="911">
        <f t="shared" si="2"/>
        <v>0</v>
      </c>
      <c r="AI13" s="911">
        <f t="shared" si="2"/>
        <v>0</v>
      </c>
      <c r="AJ13" s="911">
        <f t="shared" si="2"/>
        <v>2154</v>
      </c>
      <c r="AK13" s="911">
        <f t="shared" si="2"/>
        <v>6464</v>
      </c>
      <c r="AL13" s="911">
        <f t="shared" si="2"/>
        <v>0</v>
      </c>
      <c r="AM13" s="911">
        <f t="shared" si="2"/>
        <v>0</v>
      </c>
      <c r="AN13" s="911">
        <f t="shared" si="2"/>
        <v>0</v>
      </c>
      <c r="AO13" s="907">
        <f>IF(ISNUMBER(((NºAsuntos!I13/NºAsuntos!G13)*11)/factor_trimestre),((NºAsuntos!I13/NºAsuntos!G13)*11)/factor_trimestre," - ")</f>
        <v>10.922213382833908</v>
      </c>
      <c r="AP13" s="913" t="str">
        <f>IF(ISNUMBER(Datos!CI13/Datos!CJ13),Datos!CI13/Datos!CJ13," - ")</f>
        <v xml:space="preserve"> - </v>
      </c>
      <c r="AQ13" s="931">
        <f t="shared" ref="AQ13:AV13" si="3">SUBTOTAL(9,AQ9:AQ12)</f>
        <v>0</v>
      </c>
      <c r="AR13" s="931">
        <f t="shared" si="3"/>
        <v>3.1021464453481463E-2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2613</v>
      </c>
      <c r="G15" s="228">
        <f>IF(ISNUMBER(IF(D_I="SI",Datos!I15,Datos!I15+Datos!AC15)),IF(D_I="SI",Datos!I15,Datos!I15+Datos!AC15)," - ")</f>
        <v>2613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358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11566</v>
      </c>
      <c r="Z15" s="622">
        <f>IF(ISNUMBER(Datos!Q15),Datos!Q15," - ")</f>
        <v>291</v>
      </c>
      <c r="AA15" s="335">
        <f>IF(ISNUMBER(IF(D_I="SI",Datos!L15,Datos!L15+Datos!AF15)),IF(D_I="SI",Datos!L15,Datos!L15+Datos!AF15)," - ")</f>
        <v>3235</v>
      </c>
      <c r="AB15" s="337"/>
      <c r="AC15" s="337"/>
      <c r="AD15" s="487"/>
      <c r="AE15" s="487">
        <f>IF(ISNUMBER(Datos!R15),Datos!R15," - ")</f>
        <v>427</v>
      </c>
      <c r="AF15" s="232" t="str">
        <f>IF(ISNUMBER(Datos!BV15),Datos!BV15," - ")</f>
        <v xml:space="preserve"> - </v>
      </c>
      <c r="AG15" s="228"/>
      <c r="AH15" s="301"/>
      <c r="AI15" s="230"/>
      <c r="AJ15" s="228">
        <f>IF(ISNUMBER(Datos!M15),Datos!M15," - ")</f>
        <v>1208</v>
      </c>
      <c r="AK15" s="232">
        <f>IF(ISNUMBER(Datos!N15),Datos!N15," - ")</f>
        <v>8376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3.076690299152689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10</v>
      </c>
      <c r="G16" s="228">
        <f>IF(ISNUMBER(IF(D_I="SI",Datos!I16,Datos!I16+Datos!AC16)),IF(D_I="SI",Datos!I16,Datos!I16+Datos!AC16)," - ")</f>
        <v>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v>
      </c>
      <c r="Z16" s="622">
        <f>IF(ISNUMBER(Datos!Q16),Datos!Q16," - ")</f>
        <v>0</v>
      </c>
      <c r="AA16" s="335">
        <f>IF(ISNUMBER(IF(D_I="SI",Datos!L16,Datos!L16+Datos!AF16)),IF(D_I="SI",Datos!L16,Datos!L16+Datos!AF16)," - ")</f>
        <v>9</v>
      </c>
      <c r="AB16" s="337"/>
      <c r="AC16" s="337"/>
      <c r="AD16" s="487"/>
      <c r="AE16" s="487">
        <f>IF(ISNUMBER(Datos!R16),Datos!R16," - ")</f>
        <v>2</v>
      </c>
      <c r="AF16" s="232" t="str">
        <f>IF(ISNUMBER(Datos!BV16),Datos!BV16," - ")</f>
        <v xml:space="preserve"> - </v>
      </c>
      <c r="AG16" s="228"/>
      <c r="AH16" s="301"/>
      <c r="AI16" s="230"/>
      <c r="AJ16" s="228">
        <f>IF(ISNUMBER(Datos!M16),Datos!M16," - ")</f>
        <v>0</v>
      </c>
      <c r="AK16" s="232">
        <f>IF(ISNUMBER(Datos!N16),Datos!N16," - ")</f>
        <v>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159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1012</v>
      </c>
      <c r="Z17" s="622">
        <f>IF(ISNUMBER(Datos!Q17),Datos!Q17," - ")</f>
        <v>60</v>
      </c>
      <c r="AA17" s="335">
        <f>IF(ISNUMBER(Datos!L17),Datos!L17,"-")</f>
        <v>158</v>
      </c>
      <c r="AB17" s="337"/>
      <c r="AC17" s="337"/>
      <c r="AD17" s="487"/>
      <c r="AE17" s="487">
        <f>IF(ISNUMBER(Datos!R17),Datos!R17," - ")</f>
        <v>41</v>
      </c>
      <c r="AF17" s="232" t="str">
        <f>IF(ISNUMBER(Datos!BV17),Datos!BV17," - ")</f>
        <v xml:space="preserve"> - </v>
      </c>
      <c r="AG17" s="228" t="str">
        <f>IF(ISNUMBER(Datos!DV17),Datos!DV17," - ")</f>
        <v xml:space="preserve"> - </v>
      </c>
      <c r="AH17" s="301"/>
      <c r="AI17" s="230"/>
      <c r="AJ17" s="228">
        <f>IF(ISNUMBER(Datos!M17),Datos!M17," - ")</f>
        <v>275</v>
      </c>
      <c r="AK17" s="232">
        <f>IF(ISNUMBER(Datos!N17),Datos!N17," - ")</f>
        <v>526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1.7173913043478259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2623</v>
      </c>
      <c r="G18" s="901">
        <f>SUBTOTAL(9,G15:G17)</f>
        <v>2781</v>
      </c>
      <c r="H18" s="935">
        <f>SUBTOTAL(9,H15:H17)</f>
        <v>0</v>
      </c>
      <c r="I18" s="914">
        <f>SUBTOTAL(9,I15:I17)</f>
        <v>0</v>
      </c>
      <c r="J18" s="870">
        <f>SUBTOTAL(9,J14:J17)</f>
        <v>0</v>
      </c>
      <c r="K18" s="935">
        <f t="shared" ref="K18:S18" si="4">SUBTOTAL(9,K15:K17)</f>
        <v>0</v>
      </c>
      <c r="L18" s="935">
        <f t="shared" si="4"/>
        <v>0</v>
      </c>
      <c r="M18" s="935">
        <f t="shared" si="4"/>
        <v>0</v>
      </c>
      <c r="N18" s="935">
        <f t="shared" si="4"/>
        <v>422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12579</v>
      </c>
      <c r="Z18" s="935">
        <f t="shared" si="5"/>
        <v>351</v>
      </c>
      <c r="AA18" s="935">
        <f t="shared" si="5"/>
        <v>3402</v>
      </c>
      <c r="AB18" s="935">
        <f t="shared" si="5"/>
        <v>0</v>
      </c>
      <c r="AC18" s="935">
        <f t="shared" si="5"/>
        <v>0</v>
      </c>
      <c r="AD18" s="935">
        <f t="shared" si="5"/>
        <v>0</v>
      </c>
      <c r="AE18" s="935">
        <f t="shared" si="5"/>
        <v>470</v>
      </c>
      <c r="AF18" s="935">
        <f t="shared" si="5"/>
        <v>0</v>
      </c>
      <c r="AG18" s="935">
        <f t="shared" si="5"/>
        <v>0</v>
      </c>
      <c r="AH18" s="935">
        <f t="shared" si="5"/>
        <v>0</v>
      </c>
      <c r="AI18" s="935">
        <f t="shared" si="5"/>
        <v>0</v>
      </c>
      <c r="AJ18" s="935">
        <f t="shared" si="5"/>
        <v>1483</v>
      </c>
      <c r="AK18" s="935">
        <f t="shared" si="5"/>
        <v>8903</v>
      </c>
      <c r="AL18" s="935">
        <f t="shared" si="5"/>
        <v>0</v>
      </c>
      <c r="AM18" s="935">
        <f t="shared" si="5"/>
        <v>0</v>
      </c>
      <c r="AN18" s="935">
        <f t="shared" si="5"/>
        <v>0</v>
      </c>
      <c r="AO18" s="937">
        <f>IF(ISNUMBER(((NºAsuntos!I18/NºAsuntos!G18)*11)/factor_trimestre),((NºAsuntos!I18/NºAsuntos!G18)*11)/factor_trimestre," - ")</f>
        <v>2.9749582637729546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2711</v>
      </c>
      <c r="G19" s="823">
        <f t="shared" si="7"/>
        <v>2869</v>
      </c>
      <c r="H19" s="824">
        <f t="shared" si="7"/>
        <v>0</v>
      </c>
      <c r="I19" s="823">
        <f t="shared" si="7"/>
        <v>0</v>
      </c>
      <c r="J19" s="825">
        <f t="shared" si="7"/>
        <v>0</v>
      </c>
      <c r="K19" s="823">
        <f t="shared" si="7"/>
        <v>0</v>
      </c>
      <c r="L19" s="826">
        <f t="shared" si="7"/>
        <v>0</v>
      </c>
      <c r="M19" s="823">
        <f t="shared" si="7"/>
        <v>0</v>
      </c>
      <c r="N19" s="824">
        <f t="shared" si="7"/>
        <v>2322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12703</v>
      </c>
      <c r="Z19" s="830">
        <f t="shared" si="8"/>
        <v>1359</v>
      </c>
      <c r="AA19" s="831">
        <f t="shared" si="8"/>
        <v>3493</v>
      </c>
      <c r="AB19" s="831">
        <f t="shared" si="8"/>
        <v>0</v>
      </c>
      <c r="AC19" s="831">
        <f t="shared" si="8"/>
        <v>0</v>
      </c>
      <c r="AD19" s="832">
        <f t="shared" si="8"/>
        <v>0</v>
      </c>
      <c r="AE19" s="832">
        <f t="shared" si="8"/>
        <v>11772</v>
      </c>
      <c r="AF19" s="833">
        <f t="shared" si="8"/>
        <v>0</v>
      </c>
      <c r="AG19" s="834">
        <f t="shared" si="8"/>
        <v>0</v>
      </c>
      <c r="AH19" s="835">
        <f t="shared" si="8"/>
        <v>0</v>
      </c>
      <c r="AI19" s="833">
        <f t="shared" si="8"/>
        <v>0</v>
      </c>
      <c r="AJ19" s="823">
        <f t="shared" si="8"/>
        <v>3637</v>
      </c>
      <c r="AK19" s="823">
        <f t="shared" si="8"/>
        <v>15367</v>
      </c>
      <c r="AL19" s="823">
        <f t="shared" si="8"/>
        <v>0</v>
      </c>
      <c r="AM19" s="836">
        <f t="shared" si="8"/>
        <v>0</v>
      </c>
      <c r="AN19" s="826">
        <f>IF(ISNUMBER(Datos!K19/Datos!J19),Datos!K19/Datos!J19," - ")</f>
        <v>0.89072359720385419</v>
      </c>
      <c r="AO19" s="826">
        <f>IF(ISNUMBER(FIND("06",Criterios!A8,1)),(IF(ISNUMBER(((Datos!R19/Datos!Q19)*11)/factor_trimestre),((Datos!R19/Datos!Q19)*11)/factor_trimestre," - ")),(IF(ISNUMBER(((Datos!L19/Datos!K19)*11)/factor_trimestre),((Datos!L19/Datos!K19)*11)/factor_trimestre," - ")))</f>
        <v>6.6672888474101732</v>
      </c>
      <c r="AP19" s="837" t="str">
        <f>IF(ISNUMBER(Datos!CI19/Datos!CJ19),Datos!CI19/Datos!CJ19," - ")</f>
        <v xml:space="preserve"> - </v>
      </c>
      <c r="AQ19" s="837">
        <f>IF(OR(ISNUMBER(FIND("01",Criterios!A8,1)),ISNUMBER(FIND("02",Criterios!A8,1)),ISNUMBER(FIND("03",Criterios!A8,1)),ISNUMBER(FIND("04",Criterios!A8,1))),(J19-Y19+K19)/(F19-K19),(I19-Y19+K19)/(F19-K19))</f>
        <v>-4.6857248247879015</v>
      </c>
      <c r="AR19" s="837">
        <f>IF(ISNUMBER((Datos!P19-Datos!Q19+O19)/(Datos!R19-Datos!P19+Datos!Q19-O19)),(Datos!P19-Datos!Q19+O19)/(Datos!R19-Datos!P19+Datos!Q19-O19)," - ")</f>
        <v>8.9092422980849295E-2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956.33333333333337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1400.3454216728101</v>
      </c>
      <c r="G21" s="555">
        <f>IF(ISNUMBER(STDEV(G8:G18)),STDEV(G8:G18),"-")</f>
        <v>1350.1954920183471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939.68972842863707</v>
      </c>
      <c r="AK21" s="255"/>
      <c r="AL21" s="255">
        <f>IF(ISNUMBER(STDEV(AL8:AL18)),STDEV(AL8:AL18),"-")</f>
        <v>0</v>
      </c>
      <c r="AM21" s="257">
        <f>IF(ISNUMBER(STDEV(AM8:AM18)),STDEV(AM8:AM18),"-")</f>
        <v>0</v>
      </c>
      <c r="AN21" s="542">
        <f>IF(ISNUMBER(STDEV(AN8:AN18)),STDEV(AN8:AN18),"-")</f>
        <v>0</v>
      </c>
      <c r="AO21" s="543">
        <f>IF(ISNUMBER(STDEV(AO8:AO18)),STDEV(AO8:AO18),"-")</f>
        <v>35.252824250225032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3BcjbgnvrkwNPiX/L1pc9SSck5QuqvyRSlYEGl7l2O5bGnP5WbRrrA1zUWw4C1PzythrJBQj877LVUAQHAUWBw==" saltValue="DHemkjeOYS9P1H6hWU5u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dAlxUoRf6mdLCXwCSpQJE0r0qV7oUOiMxv5YpMsEXYAq55Zq1qPit+3NLiGTc2ltID/9R/5nKddRqjuLXBka5Q==" saltValue="TxiXU4e2vLhS8tCodyVL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tbvk3RAr/M5CUR+D61pMlPbUOuGV2xN/8rTdssGeVOQ2b4tPAz1nvNKjc9NMh1CB89SFcH6qYfvcYz/eFjwKA==" saltValue="1GkQ2lO+SZLnt0MnfSyl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SAN BARTOLOME DE TIRAJANA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0.19040042429063908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0.13463343115670673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tkLPAkJuflq8KFHftgyPhQS5h2sFuQSYnDj5jcVRkbouAXEcMALE7pR/Oyovv+hj621y3ZichYaWoIwM7gu7w==" saltValue="ewPhNx1ThQ9BwoevKBJx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czgn4YuRwIR09GkuFjNmXSAefnkxG9wT+Shp18BOSuSqsCrYcKzQYtM6KRECB5yfzIpmYOK9X+/IsbBLBiLbSA==" saltValue="VJGOtCHOGtZT7Nm3eLOP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SAN BARTOLOME DE TIRAJANA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8867</v>
      </c>
      <c r="D9" s="407">
        <f>IF(ISNUMBER(C9/Datos!BH9),C9/Datos!BH9," - ")</f>
        <v>1773.4</v>
      </c>
      <c r="E9" s="406">
        <f>IF(ISNUMBER(IF(J_V="SI",Datos!J9,Datos!J9+Datos!Z9)),IF(J_V="SI",Datos!J9,Datos!J9+Datos!Z9)," - ")</f>
        <v>13600</v>
      </c>
      <c r="F9" s="407">
        <f>IF(ISNUMBER(E9/B9),E9/B9," - ")</f>
        <v>2720</v>
      </c>
      <c r="G9" s="406">
        <f>IF(ISNUMBER(IF(J_V="SI",Datos!K9,Datos!K9+Datos!AA9)),IF(J_V="SI",Datos!K9,Datos!K9+Datos!AA9)," - ")</f>
        <v>11189</v>
      </c>
      <c r="H9" s="407">
        <f>IF(ISNUMBER(G9/B9),G9/B9," - ")</f>
        <v>2237.8000000000002</v>
      </c>
      <c r="I9" s="406">
        <f>IF(ISNUMBER(IF(J_V="SI",Datos!L9,Datos!L9+Datos!AB9)),IF(J_V="SI",Datos!L9,Datos!L9+Datos!AB9)," - ")</f>
        <v>11136</v>
      </c>
      <c r="J9" s="407">
        <f>IF(ISNUMBER(I9/B9),I9/B9," - ")</f>
        <v>2227.1999999999998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88</v>
      </c>
      <c r="D10" s="407">
        <f>IF(ISNUMBER(C10/Datos!BH10),C10/Datos!BH10," - ")</f>
        <v>88</v>
      </c>
      <c r="E10" s="406">
        <f>IF(ISNUMBER(Datos!J10),Datos!J10," - ")</f>
        <v>127</v>
      </c>
      <c r="F10" s="407">
        <f>IF(ISNUMBER(E10/B10),E10/B10," - ")</f>
        <v>127</v>
      </c>
      <c r="G10" s="406">
        <f>IF(ISNUMBER(Datos!K10),Datos!K10," - ")</f>
        <v>124</v>
      </c>
      <c r="H10" s="407">
        <f>IF(ISNUMBER(G10/B10),G10/B10," - ")</f>
        <v>124</v>
      </c>
      <c r="I10" s="406">
        <f>IF(ISNUMBER(Datos!L10),Datos!L10," - ")</f>
        <v>91</v>
      </c>
      <c r="J10" s="407">
        <f>IF(ISNUMBER(I10/B10),I10/B10," - ")</f>
        <v>91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6</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6</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8961</v>
      </c>
      <c r="D13" s="853" t="str">
        <f>IF(ISNUMBER(C13/Datos!BI13),C13/Datos!BI13," - ")</f>
        <v xml:space="preserve"> - </v>
      </c>
      <c r="E13" s="852">
        <f>SUBTOTAL(9,E8:E12)</f>
        <v>13727</v>
      </c>
      <c r="F13" s="853">
        <f>IF(ISNUMBER(E13/B13),E13/B13," - ")</f>
        <v>2287.8333333333335</v>
      </c>
      <c r="G13" s="852">
        <f>SUBTOTAL(9,G8:G12)</f>
        <v>11313</v>
      </c>
      <c r="H13" s="853">
        <f>IF(ISNUMBER(G13/B13),G13/B13," - ")</f>
        <v>1885.5</v>
      </c>
      <c r="I13" s="852">
        <f>SUBTOTAL(9,I8:I12)</f>
        <v>11233</v>
      </c>
      <c r="J13" s="853">
        <f>IF(ISNUMBER(I13/B13),I13/B13," - ")</f>
        <v>1872.1666666666667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2613</v>
      </c>
      <c r="D15" s="407">
        <f>IF(ISNUMBER(C15/Datos!BH15),C15/Datos!BH15," - ")</f>
        <v>871</v>
      </c>
      <c r="E15" s="406">
        <f>IF(ISNUMBER(IF(D_I="SI",Datos!J15,Datos!J15+Datos!AD15)),IF(D_I="SI",Datos!J15,Datos!J15+Datos!AD15)," - ")</f>
        <v>12188</v>
      </c>
      <c r="F15" s="407">
        <f>IF(ISNUMBER(E15/B15),E15/B15," - ")</f>
        <v>4062.6666666666665</v>
      </c>
      <c r="G15" s="406">
        <f>IF(ISNUMBER(IF(D_I="SI",Datos!K15,Datos!K15+Datos!AE15)),IF(D_I="SI",Datos!K15,Datos!K15+Datos!AE15)," - ")</f>
        <v>11566</v>
      </c>
      <c r="H15" s="407">
        <f>IF(ISNUMBER(G15/B15),G15/B15," - ")</f>
        <v>3855.3333333333335</v>
      </c>
      <c r="I15" s="406">
        <f>IF(ISNUMBER(IF(D_I="SI",Datos!L15,Datos!L15+Datos!AF15)),IF(D_I="SI",Datos!L15,Datos!L15+Datos!AF15)," - ")</f>
        <v>3235</v>
      </c>
      <c r="J15" s="407">
        <f>IF(ISNUMBER(I15/B15),I15/B15," - ")</f>
        <v>1078.3333333333333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9</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1</v>
      </c>
      <c r="H16" s="407" t="str">
        <f>IF(ISNUMBER(G16/B16),G16/B16," - ")</f>
        <v xml:space="preserve"> - </v>
      </c>
      <c r="I16" s="406">
        <f>IF(ISNUMBER(IF(D_I="SI",Datos!L16,Datos!L16+Datos!AF16)),IF(D_I="SI",Datos!L16,Datos!L16+Datos!AF16)," - ")</f>
        <v>9</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159</v>
      </c>
      <c r="D17" s="407">
        <f>IF(ISNUMBER(C17/Datos!BH17),C17/Datos!BH17," - ")</f>
        <v>159</v>
      </c>
      <c r="E17" s="406">
        <f>IF(ISNUMBER(IF(D_I="SI",Datos!J17,Datos!J17+Datos!AD17)),IF(D_I="SI",Datos!J17,Datos!J17+Datos!AD17)," - ")</f>
        <v>1011</v>
      </c>
      <c r="F17" s="407">
        <f>IF(ISNUMBER(E17/B17),E17/B17," - ")</f>
        <v>1011</v>
      </c>
      <c r="G17" s="406">
        <f>IF(ISNUMBER(IF(D_I="SI",Datos!K17,Datos!K17+Datos!AE17)),IF(D_I="SI",Datos!K17,Datos!K17+Datos!AE17)," - ")</f>
        <v>1012</v>
      </c>
      <c r="H17" s="407">
        <f>IF(ISNUMBER(G17/B17),G17/B17," - ")</f>
        <v>1012</v>
      </c>
      <c r="I17" s="406">
        <f>IF(ISNUMBER(IF(D_I="SI",Datos!L17,Datos!L17+Datos!AF17)),IF(D_I="SI",Datos!L17,Datos!L17+Datos!AF17)," - ")</f>
        <v>158</v>
      </c>
      <c r="J17" s="407">
        <f>IF(ISNUMBER(I17/B17),I17/B17," - ")</f>
        <v>158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2781</v>
      </c>
      <c r="D18" s="853" t="str">
        <f>IF(ISNUMBER(C18/Datos!BI18),C18/Datos!BI18," - ")</f>
        <v xml:space="preserve"> - </v>
      </c>
      <c r="E18" s="852">
        <f>SUBTOTAL(9,E14:E17)</f>
        <v>13199</v>
      </c>
      <c r="F18" s="853">
        <f>IF(ISNUMBER(E18/B18),E18/B18," - ")</f>
        <v>3299.75</v>
      </c>
      <c r="G18" s="852">
        <f>SUBTOTAL(9,G14:G17)</f>
        <v>12579</v>
      </c>
      <c r="H18" s="853">
        <f>IF(ISNUMBER(G18/B18),G18/B18," - ")</f>
        <v>3144.75</v>
      </c>
      <c r="I18" s="852">
        <f>SUBTOTAL(9,I14:I17)</f>
        <v>3402</v>
      </c>
      <c r="J18" s="853">
        <f>IF(ISNUMBER(I18/B18),I18/B18," - ")</f>
        <v>850.5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11742</v>
      </c>
      <c r="D19" s="798" t="str">
        <f>IF(ISNUMBER(C19/Datos!BI19),C19/Datos!BI19," - ")</f>
        <v xml:space="preserve"> - </v>
      </c>
      <c r="E19" s="797">
        <f>SUBTOTAL(9,E9:E18)</f>
        <v>26926</v>
      </c>
      <c r="F19" s="798">
        <f>IF(ISNUMBER(E19/B19),E19/B19," - ")</f>
        <v>2991.7777777777778</v>
      </c>
      <c r="G19" s="797">
        <f>SUBTOTAL(9,G9:G18)</f>
        <v>23892</v>
      </c>
      <c r="H19" s="798">
        <f>IF(ISNUMBER(G19/B19),G19/B19," - ")</f>
        <v>2654.6666666666665</v>
      </c>
      <c r="I19" s="797">
        <f>SUBTOTAL(9,I9:I18)</f>
        <v>14635</v>
      </c>
      <c r="J19" s="798">
        <f>IF(ISNUMBER(I19/B19),I19/B19," - ")</f>
        <v>1626.1111111111111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8qPM34KqmRAyh71ElboPjW3zz4+nAfpKjsQAZKwugfFibvlCLl8fsnrM6WeHo51y+hDP3mon1/t52kjt447V3A==" saltValue="q7a5L8dPG/BWFnpkekpx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SAN BARTOLOME DE TIRAJANA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88</v>
      </c>
      <c r="G10" s="687">
        <f>IF(ISNUMBER(Datos!I10),Datos!I10," - ")</f>
        <v>88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124</v>
      </c>
      <c r="AC10" s="686" t="str">
        <f>IF(ISNUMBER(IF(D_I="SI",DatosP!K17,DatosP!K17+DatosP!AE17)),IF(D_I="SI",DatosP!K17,DatosP!K17+DatosP!AE17)," - ")</f>
        <v xml:space="preserve"> - </v>
      </c>
      <c r="AD10" s="688"/>
      <c r="AE10" s="688"/>
      <c r="AF10" s="691">
        <f>IF(ISNUMBER(Datos!L10),Datos!L10,"-")</f>
        <v>91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52</v>
      </c>
      <c r="AM10" s="693">
        <f>IF(ISNUMBER(Datos!N10+DatosP!N17),Datos!N10+DatosP!N17," - ")</f>
        <v>50</v>
      </c>
      <c r="AN10" s="693">
        <f>IF(ISNUMBER(Datos!BW10+DatosP!BW17),Datos!BW10+DatosP!BW17," - ")</f>
        <v>0</v>
      </c>
      <c r="AO10" s="694">
        <f>IF(ISNUMBER(Datos!BX10+DatosP!BX17),Datos!BX10+DatosP!BX17," - ")</f>
        <v>0</v>
      </c>
      <c r="AP10" s="696">
        <f>IF(ISNUMBER(((Datos!L10/Datos!K10)*11)/factor_trimestre),((Datos!L10/Datos!K10)*11)/factor_trimestre," - ")</f>
        <v>8.07258064516129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618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-1.7488076311605722E-2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88</v>
      </c>
      <c r="G13" s="941">
        <f t="shared" si="0"/>
        <v>88</v>
      </c>
      <c r="H13" s="941">
        <f t="shared" si="0"/>
        <v>0</v>
      </c>
      <c r="I13" s="943">
        <f t="shared" si="0"/>
        <v>0</v>
      </c>
      <c r="J13" s="942">
        <f t="shared" si="0"/>
        <v>0</v>
      </c>
      <c r="K13" s="942">
        <f t="shared" si="0"/>
        <v>0</v>
      </c>
      <c r="L13" s="944">
        <f t="shared" si="0"/>
        <v>0</v>
      </c>
      <c r="M13" s="944">
        <f t="shared" si="0"/>
        <v>0</v>
      </c>
      <c r="N13" s="942">
        <f t="shared" si="0"/>
        <v>10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124</v>
      </c>
      <c r="AC13" s="942">
        <f t="shared" si="1"/>
        <v>0</v>
      </c>
      <c r="AD13" s="942">
        <f t="shared" si="1"/>
        <v>11</v>
      </c>
      <c r="AE13" s="942">
        <f t="shared" si="1"/>
        <v>0</v>
      </c>
      <c r="AF13" s="942">
        <f t="shared" si="1"/>
        <v>91</v>
      </c>
      <c r="AG13" s="942">
        <f t="shared" si="1"/>
        <v>0</v>
      </c>
      <c r="AH13" s="942">
        <f t="shared" si="1"/>
        <v>618</v>
      </c>
      <c r="AI13" s="942">
        <f t="shared" si="1"/>
        <v>0</v>
      </c>
      <c r="AJ13" s="942">
        <f t="shared" si="1"/>
        <v>0</v>
      </c>
      <c r="AK13" s="942">
        <f t="shared" si="1"/>
        <v>0</v>
      </c>
      <c r="AL13" s="942">
        <f t="shared" si="1"/>
        <v>52</v>
      </c>
      <c r="AM13" s="942">
        <f t="shared" si="1"/>
        <v>50</v>
      </c>
      <c r="AN13" s="942">
        <f t="shared" si="1"/>
        <v>0</v>
      </c>
      <c r="AO13" s="942">
        <f t="shared" si="1"/>
        <v>0</v>
      </c>
      <c r="AP13" s="947">
        <f>IF(ISNUMBER(((Datos!L13/Datos!K13)*11)/factor_trimestre),((Datos!L13/Datos!K13)*11)/factor_trimestre," - ")</f>
        <v>10.891941058759324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-1.4090909090909092</v>
      </c>
      <c r="AU13" s="942" t="str">
        <f>IF(ISNUMBER((DatosP!#REF!-DatosP!#REF!+DatosP!#REF!)/(DatosP!#REF!+DatosP!#REF!-DatosP!#REF!-DatosP!#REF!)),(DatosP!#REF!-DatosP!#REF!+DatosP!#REF!)/(DatosP!#REF!+DatosP!#REF!-DatosP!#REF!-DatosP!#REF!)," - ")</f>
        <v xml:space="preserve"> - </v>
      </c>
      <c r="AV13" s="948">
        <f>SUBTOTAL(9,AV9:AV12)</f>
        <v>-1.7488076311605722E-2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2.9749582637729546</v>
      </c>
      <c r="AQ18" s="947">
        <f>IF(ISNUMBER(((Datos!M18/Datos!L18)*11)/factor_trimestre),((Datos!M18/Datos!L18)*11)/factor_trimestre," - ")</f>
        <v>4.79512051734274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0.17794486215538846</v>
      </c>
      <c r="AW18" s="949">
        <f>IF(ISNUMBER((Datos!Q18-Datos!R18)/(Datos!S18-Datos!Q18+Datos!R18)),(Datos!Q18-Datos!R18)/(Datos!S18-Datos!Q18+Datos!R18)," - ")</f>
        <v>-3.8325281803542673E-2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88</v>
      </c>
      <c r="G19" s="954">
        <f t="shared" si="4"/>
        <v>88</v>
      </c>
      <c r="H19" s="954">
        <f t="shared" si="4"/>
        <v>0</v>
      </c>
      <c r="I19" s="955">
        <f t="shared" si="4"/>
        <v>0</v>
      </c>
      <c r="J19" s="956">
        <f t="shared" si="4"/>
        <v>0</v>
      </c>
      <c r="K19" s="956">
        <f t="shared" si="4"/>
        <v>0</v>
      </c>
      <c r="L19" s="956">
        <f t="shared" si="4"/>
        <v>0</v>
      </c>
      <c r="M19" s="956">
        <f t="shared" si="4"/>
        <v>0</v>
      </c>
      <c r="N19" s="955">
        <f t="shared" si="4"/>
        <v>10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124</v>
      </c>
      <c r="AC19" s="960">
        <f t="shared" si="5"/>
        <v>0</v>
      </c>
      <c r="AD19" s="960">
        <f t="shared" si="5"/>
        <v>11</v>
      </c>
      <c r="AE19" s="960">
        <f t="shared" si="5"/>
        <v>0</v>
      </c>
      <c r="AF19" s="961">
        <f t="shared" si="5"/>
        <v>91</v>
      </c>
      <c r="AG19" s="961">
        <f t="shared" si="5"/>
        <v>0</v>
      </c>
      <c r="AH19" s="961">
        <f t="shared" si="5"/>
        <v>618</v>
      </c>
      <c r="AI19" s="961">
        <f t="shared" si="5"/>
        <v>0</v>
      </c>
      <c r="AJ19" s="962">
        <f t="shared" si="5"/>
        <v>0</v>
      </c>
      <c r="AK19" s="962">
        <f t="shared" si="5"/>
        <v>0</v>
      </c>
      <c r="AL19" s="954">
        <f t="shared" si="5"/>
        <v>52</v>
      </c>
      <c r="AM19" s="954">
        <f t="shared" si="5"/>
        <v>50</v>
      </c>
      <c r="AN19" s="954">
        <f t="shared" si="5"/>
        <v>0</v>
      </c>
      <c r="AO19" s="954">
        <f t="shared" si="5"/>
        <v>0</v>
      </c>
      <c r="AP19" s="954">
        <f>IF(ISNUMBER(((Datos!L19/Datos!K19)*11)/factor_trimestre),((Datos!L19/Datos!K19)*11)/factor_trimestre," - ")</f>
        <v>6.6672888474101732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-1.4090909090909092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8.9092422980849295E-2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58.666666666666664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2.7568097504180442</v>
      </c>
      <c r="F21" s="739">
        <f>IF(ISNUMBER(STDEV(F8:F18)),STDEV(F8:F18),"-")</f>
        <v>50.806823688687061</v>
      </c>
      <c r="G21" s="740">
        <f>IF(ISNUMBER(STDEV(G8:G18)),STDEV(G8:G18),"-")</f>
        <v>50.806823688687061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71.591433379513603</v>
      </c>
      <c r="AC21" s="741">
        <f>IF(ISNUMBER(STDEV(AC8:AC18)),STDEV(AC8:AC18),"-")</f>
        <v>0</v>
      </c>
      <c r="AD21" s="744"/>
      <c r="AE21" s="744"/>
      <c r="AF21" s="744"/>
      <c r="AG21" s="744"/>
      <c r="AH21" s="744"/>
      <c r="AI21" s="744"/>
      <c r="AJ21" s="745">
        <f>IF(ISNUMBER(STDEV(AJ8:AJ18)),STDEV(AJ8:AJ18),"-")</f>
        <v>0</v>
      </c>
      <c r="AK21" s="747"/>
      <c r="AL21" s="739">
        <f>IF(ISNUMBER(STDEV(AL8:AL18)),STDEV(AL8:AL18),"-")</f>
        <v>30.02221399786054</v>
      </c>
      <c r="AM21" s="739"/>
      <c r="AN21" s="739">
        <f>IF(ISNUMBER(STDEV(AN8:AN18)),STDEV(AN8:AN18),"-")</f>
        <v>0</v>
      </c>
      <c r="AO21" s="745">
        <f>IF(ISNUMBER(STDEV(AO8:AO18)),STDEV(AO8:AO18),"-")</f>
        <v>0</v>
      </c>
      <c r="AP21" s="782">
        <f>IF(ISNUMBER(STDEV(AP8:AP18)),STDEV(AP8:AP18),"-")</f>
        <v>4.0127539101616403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4S+K5ONPZpAHY2cd2jpd8bvw2fO7VPKOsWmNxXxPzhARRpv4lZM2WBrrtz/fTcpCq89Nxn1WJeJG3zBtrJNm2w==" saltValue="5g3havGoTw5putqn7Plt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LAS PALMAS</v>
      </c>
      <c r="C3" s="418"/>
      <c r="F3" s="378"/>
      <c r="G3" s="378"/>
      <c r="H3" s="378"/>
    </row>
    <row r="4" spans="1:15" ht="13.5" thickBot="1">
      <c r="A4" s="378"/>
      <c r="B4" s="394" t="str">
        <f>Criterios!A11 &amp;"  "&amp;Criterios!B11</f>
        <v>Resumenes por Partidos Judiciales  SAN BARTOLOME DE TIRAJANA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mrLvmNVClVAJPkbevt0iRMI/Ip9bJGJcQe8+BAngewmvqCHWsju1V7jGo7cms3ZZOD2sQmMDNOBHZIF7RHAnrg==" saltValue="m+pzjKPPgTeYNYtbZ8fc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SAN BARTOLOME DE TIRAJANA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2102</v>
      </c>
      <c r="E9" s="407">
        <f t="shared" ref="E9:E13" si="0">IF(ISNUMBER(D9/B9),D9/B9," - ")</f>
        <v>420.4</v>
      </c>
      <c r="F9" s="406">
        <f>IF(ISNUMBER(Datos!N9),Datos!N9," - ")</f>
        <v>6414</v>
      </c>
      <c r="G9" s="407">
        <f t="shared" ref="G9:G13" si="1">IF(ISNUMBER(F9/B9),F9/B9," - ")</f>
        <v>1282.8</v>
      </c>
      <c r="H9" s="406">
        <f>IF(ISNUMBER(Datos!O9),Datos!O9," - ")</f>
        <v>2855</v>
      </c>
      <c r="I9" s="407">
        <f>IF(ISNUMBER(H9/B9),H9/B9," - ")</f>
        <v>571</v>
      </c>
    </row>
    <row r="10" spans="1:9">
      <c r="A10" s="405" t="str">
        <f>Datos!A10</f>
        <v>Jdos. Violencia contra la mujer</v>
      </c>
      <c r="B10" s="430">
        <f>Datos!AO10</f>
        <v>1</v>
      </c>
      <c r="C10" s="413">
        <f>Datos!AQ10</f>
        <v>1</v>
      </c>
      <c r="D10" s="406">
        <f>IF(ISNUMBER(Datos!M10),Datos!M10," - ")</f>
        <v>52</v>
      </c>
      <c r="E10" s="407">
        <f>IF(ISNUMBER(D10/B10),D10/B10," - ")</f>
        <v>52</v>
      </c>
      <c r="F10" s="406">
        <f>IF(ISNUMBER(Datos!N10),Datos!N10," - ")</f>
        <v>50</v>
      </c>
      <c r="G10" s="407">
        <f>IF(ISNUMBER(F10/B10),F10/B10," - ")</f>
        <v>50</v>
      </c>
      <c r="H10" s="406">
        <f>IF(ISNUMBER(Datos!O10),Datos!O10," - ")</f>
        <v>18</v>
      </c>
      <c r="I10" s="407">
        <f t="shared" ref="I10:I12" si="2">IF(ISNUMBER(H10/B10),H10/B10," - ")</f>
        <v>18</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9</v>
      </c>
      <c r="I12" s="407" t="str">
        <f t="shared" si="2"/>
        <v xml:space="preserve"> - </v>
      </c>
    </row>
    <row r="13" spans="1:9" ht="14.25" thickTop="1" thickBot="1">
      <c r="A13" s="851" t="str">
        <f>Datos!A13</f>
        <v>TOTAL</v>
      </c>
      <c r="B13" s="852">
        <f>Datos!AO13</f>
        <v>6</v>
      </c>
      <c r="C13" s="854">
        <f>Datos!AR13</f>
        <v>6</v>
      </c>
      <c r="D13" s="852">
        <f>SUBTOTAL(9,D9:D12)</f>
        <v>2154</v>
      </c>
      <c r="E13" s="853">
        <f t="shared" si="0"/>
        <v>359</v>
      </c>
      <c r="F13" s="852">
        <f>SUBTOTAL(9,F9:F12)</f>
        <v>6464</v>
      </c>
      <c r="G13" s="853">
        <f t="shared" si="1"/>
        <v>1077.3333333333333</v>
      </c>
      <c r="H13" s="852">
        <f>SUBTOTAL(9,H9:H12)</f>
        <v>2882</v>
      </c>
      <c r="I13" s="853">
        <f>IF(ISNUMBER(H13/B13),H13/B13," - ")</f>
        <v>480.33333333333331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1208</v>
      </c>
      <c r="E15" s="407">
        <f t="shared" ref="E15:E18" si="3">IF(ISNUMBER(D15/B15),D15/B15," - ")</f>
        <v>402.66666666666669</v>
      </c>
      <c r="F15" s="406">
        <f>IF(ISNUMBER(Datos!N15),Datos!N15," - ")</f>
        <v>8376</v>
      </c>
      <c r="G15" s="407">
        <f t="shared" ref="G15:G18" si="4">IF(ISNUMBER(F15/B15),F15/B15," - ")</f>
        <v>2792</v>
      </c>
      <c r="H15" s="406">
        <f>IF(ISNUMBER(Datos!O15),Datos!O15," - ")</f>
        <v>15</v>
      </c>
      <c r="I15" s="407">
        <f t="shared" ref="I15:I17" si="5">IF(ISNUMBER(H15/B15),H15/B15," - ")</f>
        <v>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1</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275</v>
      </c>
      <c r="E17" s="407">
        <f>IF(ISNUMBER(D17/B17),D17/B17," - ")</f>
        <v>275</v>
      </c>
      <c r="F17" s="406">
        <f>IF(ISNUMBER(Datos!N17),Datos!N17," - ")</f>
        <v>526</v>
      </c>
      <c r="G17" s="407">
        <f>IF(ISNUMBER(F17/B17),F17/B17," - ")</f>
        <v>526</v>
      </c>
      <c r="H17" s="406">
        <f>IF(ISNUMBER(Datos!O17),Datos!O17," - ")</f>
        <v>36</v>
      </c>
      <c r="I17" s="407">
        <f t="shared" si="5"/>
        <v>36</v>
      </c>
    </row>
    <row r="18" spans="1:9" ht="14.25" thickTop="1" thickBot="1">
      <c r="A18" s="851" t="str">
        <f>Datos!A18</f>
        <v>TOTAL</v>
      </c>
      <c r="B18" s="852">
        <f>Datos!AO18</f>
        <v>4</v>
      </c>
      <c r="C18" s="854">
        <f>Datos!AR18</f>
        <v>4</v>
      </c>
      <c r="D18" s="852">
        <f>SUBTOTAL(9,D15:D17)</f>
        <v>1483</v>
      </c>
      <c r="E18" s="853">
        <f t="shared" si="3"/>
        <v>370.75</v>
      </c>
      <c r="F18" s="852">
        <f>SUBTOTAL(9,F15:F17)</f>
        <v>8903</v>
      </c>
      <c r="G18" s="853">
        <f t="shared" si="4"/>
        <v>2225.75</v>
      </c>
      <c r="H18" s="852">
        <f>SUBTOTAL(9,H15:H17)</f>
        <v>51</v>
      </c>
      <c r="I18" s="853">
        <f>IF(ISNUMBER(H18/B18),H18/B18," - ")</f>
        <v>12.75</v>
      </c>
    </row>
    <row r="19" spans="1:9" ht="14.25" thickTop="1" thickBot="1">
      <c r="A19" s="796" t="str">
        <f>Datos!A19</f>
        <v>TOTAL JURISDICCIONES</v>
      </c>
      <c r="B19" s="797">
        <f>Datos!AP19</f>
        <v>9</v>
      </c>
      <c r="C19" s="797">
        <f>Datos!AR19</f>
        <v>9</v>
      </c>
      <c r="D19" s="797">
        <f>SUBTOTAL(9,D8:D18)</f>
        <v>3637</v>
      </c>
      <c r="E19" s="798">
        <f>IF(ISNUMBER(D19/B19),D19/B19," - ")</f>
        <v>404.11111111111109</v>
      </c>
      <c r="F19" s="797">
        <f>SUBTOTAL(9,F8:F18)</f>
        <v>15367</v>
      </c>
      <c r="G19" s="798">
        <f>IF(ISNUMBER(F19/B19),F19/B19," - ")</f>
        <v>1707.4444444444443</v>
      </c>
      <c r="H19" s="797">
        <f>SUBTOTAL(9,H8:H18)</f>
        <v>2933</v>
      </c>
      <c r="I19" s="798">
        <f>IF(ISNUMBER(H19/B19),H19/B19," - ")</f>
        <v>325.88888888888891</v>
      </c>
    </row>
    <row r="22" spans="1:9">
      <c r="A22" s="394" t="str">
        <f>Criterios!A4</f>
        <v>Fecha Informe: 03 may. 2024</v>
      </c>
    </row>
    <row r="27" spans="1:9">
      <c r="A27" s="417"/>
    </row>
  </sheetData>
  <sheetProtection algorithmName="SHA-512" hashValue="xphhSwO9FSg8HsGkPcL4/KoXybC4lhpYS1LxYMtS5+0VjRk6aXtsOVPlQgIUGGnULj9xMLKr6Xpp4OBDbaiX2w==" saltValue="shcvr4aGlKHRgEai1QfC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SAN BARTOLOME DE TIRAJANA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1890</v>
      </c>
      <c r="C9" s="437">
        <f>IF(ISNUMBER(Datos!Q9),Datos!Q9," - ")</f>
        <v>985</v>
      </c>
      <c r="D9" s="411">
        <f>IF(ISNUMBER(Datos!R9),Datos!R9," - ")</f>
        <v>10641</v>
      </c>
    </row>
    <row r="10" spans="1:4">
      <c r="A10" s="405" t="str">
        <f>Datos!A10</f>
        <v>Jdos. Violencia contra la mujer</v>
      </c>
      <c r="B10" s="436">
        <f>IF(ISNUMBER(Datos!P10),Datos!P10," - ")</f>
        <v>10</v>
      </c>
      <c r="C10" s="437">
        <f>IF(ISNUMBER(Datos!Q10),Datos!Q10," - ")</f>
        <v>12</v>
      </c>
      <c r="D10" s="411">
        <f>IF(ISNUMBER(Datos!R10),Datos!R10," - ")</f>
        <v>43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11</v>
      </c>
      <c r="D12" s="411">
        <f>IF(ISNUMBER(Datos!R12),Datos!R12," - ")</f>
        <v>618</v>
      </c>
    </row>
    <row r="13" spans="1:4" ht="14.25" thickTop="1" thickBot="1">
      <c r="A13" s="851" t="str">
        <f>Datos!A13</f>
        <v>TOTAL</v>
      </c>
      <c r="B13" s="852">
        <f>SUBTOTAL(9,B9:B12)</f>
        <v>1900</v>
      </c>
      <c r="C13" s="856">
        <f>SUBTOTAL(9,C9:C12)</f>
        <v>1008</v>
      </c>
      <c r="D13" s="854">
        <f>SUBTOTAL(9,D9:D12)</f>
        <v>11302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358</v>
      </c>
      <c r="C15" s="437">
        <f>IF(ISNUMBER(Datos!Q15),Datos!Q15," - ")</f>
        <v>291</v>
      </c>
      <c r="D15" s="411">
        <f>IF(ISNUMBER(Datos!R15),Datos!R15," - ")</f>
        <v>427</v>
      </c>
    </row>
    <row r="16" spans="1:4">
      <c r="A16" s="405" t="str">
        <f>Datos!A16</f>
        <v xml:space="preserve">Jdos. 1ª Instª. e Instr.                        </v>
      </c>
      <c r="B16" s="436">
        <f>IF(ISNUMBER(Datos!P16),Datos!P16," - ")</f>
        <v>0</v>
      </c>
      <c r="C16" s="437">
        <f>IF(ISNUMBER(Datos!Q16),Datos!Q16," - ")</f>
        <v>0</v>
      </c>
      <c r="D16" s="411">
        <f>IF(ISNUMBER(Datos!R16),Datos!R16," - ")</f>
        <v>2</v>
      </c>
    </row>
    <row r="17" spans="1:4" ht="13.5" thickBot="1">
      <c r="A17" s="405" t="str">
        <f>Datos!A17</f>
        <v>Jdos. Violencia contra la mujer</v>
      </c>
      <c r="B17" s="436">
        <f>IF(ISNUMBER(Datos!P17),Datos!P17," - ")</f>
        <v>64</v>
      </c>
      <c r="C17" s="437">
        <f>IF(ISNUMBER(Datos!Q17),Datos!Q17," - ")</f>
        <v>60</v>
      </c>
      <c r="D17" s="411">
        <f>IF(ISNUMBER(Datos!R17),Datos!R17," - ")</f>
        <v>41</v>
      </c>
    </row>
    <row r="18" spans="1:4" ht="14.25" thickTop="1" thickBot="1">
      <c r="A18" s="851" t="str">
        <f>Datos!A18</f>
        <v>TOTAL</v>
      </c>
      <c r="B18" s="852">
        <f>SUBTOTAL(9,B15:B17)</f>
        <v>422</v>
      </c>
      <c r="C18" s="856">
        <f>SUBTOTAL(9,C15:C17)</f>
        <v>351</v>
      </c>
      <c r="D18" s="854">
        <f>SUBTOTAL(9,D15:D17)</f>
        <v>470</v>
      </c>
    </row>
    <row r="19" spans="1:4" ht="16.5" customHeight="1" thickTop="1" thickBot="1">
      <c r="A19" s="796" t="str">
        <f>Datos!A19</f>
        <v>TOTAL JURISDICCIONES</v>
      </c>
      <c r="B19" s="801">
        <f>SUBTOTAL(9,B8:B18)</f>
        <v>2322</v>
      </c>
      <c r="C19" s="802">
        <f>SUBTOTAL(9,C8:C18)</f>
        <v>1359</v>
      </c>
      <c r="D19" s="803">
        <f>SUBTOTAL(9,D8:D18)</f>
        <v>11772</v>
      </c>
    </row>
    <row r="20" spans="1:4" ht="7.5" customHeight="1"/>
    <row r="21" spans="1:4" ht="6" customHeight="1"/>
    <row r="22" spans="1:4">
      <c r="A22" s="394" t="str">
        <f>Criterios!A4</f>
        <v>Fecha Informe: 03 may. 2024</v>
      </c>
    </row>
    <row r="27" spans="1:4">
      <c r="A27" s="417"/>
    </row>
  </sheetData>
  <sheetProtection algorithmName="SHA-512" hashValue="MX34+gb2rcL5hhlc/h5/iuumhvKfHxPK6kF/JR+hFV463O887fdNsj51Kfzu1gH+pd2c8OXnGtubW3SVx313zw==" saltValue="YDDDfsck18EgyT4MI2bo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SAN BARTOLOME DE TIRAJANA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0.12969805070709645</v>
      </c>
      <c r="C9" s="459">
        <f>IF(ISNUMBER(
   IF(J_V="SI",(Datos!J9-Datos!T9)/Datos!T9,(Datos!J9+Datos!Z9-(Datos!T9+Datos!AH9))/(Datos!T9+Datos!AH9))
     ),IF(J_V="SI",(Datos!J9-Datos!T9)/Datos!T9,(Datos!J9+Datos!Z9-(Datos!T9+Datos!AH9))/(Datos!T9+Datos!AH9))," - ")</f>
        <v>0.1503975638639824</v>
      </c>
      <c r="D9" s="459">
        <f>IF(ISNUMBER(
   IF(J_V="SI",(Datos!K9-Datos!U9)/Datos!U9,(Datos!K9+Datos!AA9-(Datos!U9+Datos!AI9))/(Datos!U9+Datos!AI9))
     ),IF(J_V="SI",(Datos!K9-Datos!U9)/Datos!U9,(Datos!K9+Datos!AA9-(Datos!U9+Datos!AI9))/(Datos!U9+Datos!AI9))," - ")</f>
        <v>6.3795398364708114E-2</v>
      </c>
      <c r="E9" s="459">
        <f>IF(ISNUMBER(
   IF(J_V="SI",(Datos!L9-Datos!V9)/Datos!V9,(Datos!L9+Datos!AB9-(Datos!V9+Datos!AJ9))/(Datos!V9+Datos!AJ9))
     ),IF(J_V="SI",(Datos!L9-Datos!V9)/Datos!V9,(Datos!L9+Datos!AB9-(Datos!V9+Datos!AJ9))/(Datos!V9+Datos!AJ9))," - ")</f>
        <v>0.25589263561520242</v>
      </c>
      <c r="F9" s="459">
        <f>IF(ISNUMBER((Datos!M9-Datos!W9)/Datos!W9),(Datos!M9-Datos!W9)/Datos!W9," - ")</f>
        <v>2.7370478983382209E-2</v>
      </c>
      <c r="G9" s="460">
        <f>IF(ISNUMBER((Datos!N9-Datos!X9)/Datos!X9),(Datos!N9-Datos!X9)/Datos!X9," - ")</f>
        <v>0.42154255319148937</v>
      </c>
      <c r="H9" s="458">
        <f>IF(ISNUMBER(((NºAsuntos!G9/NºAsuntos!E9)-Datos!BD9)/Datos!BD9),((NºAsuntos!G9/NºAsuntos!E9)-Datos!BD9)/Datos!BD9," - ")</f>
        <v>-7.5280205921501517E-2</v>
      </c>
      <c r="I9" s="459">
        <f>IF(ISNUMBER(((NºAsuntos!I9/NºAsuntos!G9)-Datos!BE9)/Datos!BE9),((NºAsuntos!I9/NºAsuntos!G9)-Datos!BE9)/Datos!BE9," - ")</f>
        <v>0.18057724027175795</v>
      </c>
      <c r="J9" s="464">
        <f>IF(ISNUMBER((('Resol  Asuntos'!D9/NºAsuntos!G9)-Datos!BF9)/Datos!BF9),(('Resol  Asuntos'!D9/NºAsuntos!G9)-Datos!BF9)/Datos!BF9," - ")</f>
        <v>-0.56206917698423409</v>
      </c>
      <c r="K9" s="465">
        <f>IF(ISNUMBER((((NºAsuntos!C9+NºAsuntos!E9)/NºAsuntos!G9)-Datos!BG9)/Datos!BG9),(((NºAsuntos!C9+NºAsuntos!E9)/NºAsuntos!G9)-Datos!BG9)/Datos!BG9," - ")</f>
        <v>7.3644588706311853E-2</v>
      </c>
    </row>
    <row r="10" spans="1:11">
      <c r="A10" s="405" t="str">
        <f>Datos!A10</f>
        <v>Jdos. Violencia contra la mujer</v>
      </c>
      <c r="B10" s="458">
        <f>IF(ISNUMBER((Datos!I10-Datos!S10)/Datos!S10),(Datos!I10-Datos!S10)/Datos!S10," - ")</f>
        <v>0.14285714285714285</v>
      </c>
      <c r="C10" s="459">
        <f>IF(ISNUMBER((Datos!J10-Datos!T10)/Datos!T10),(Datos!J10-Datos!T10)/Datos!T10," - ")</f>
        <v>-0.17532467532467533</v>
      </c>
      <c r="D10" s="459">
        <f>IF(ISNUMBER((Datos!K10-Datos!U10)/Datos!U10),(Datos!K10-Datos!U10)/Datos!U10," - ")</f>
        <v>-0.13286713286713286</v>
      </c>
      <c r="E10" s="459">
        <f>IF(ISNUMBER((Datos!L10-Datos!V10)/Datos!V10),(Datos!L10-Datos!V10)/Datos!V10," - ")</f>
        <v>3.4090909090909088E-2</v>
      </c>
      <c r="F10" s="459">
        <f>IF(ISNUMBER((Datos!M10-Datos!W10)/Datos!W10),(Datos!M10-Datos!W10)/Datos!W10," - ")</f>
        <v>0.10638297872340426</v>
      </c>
      <c r="G10" s="460">
        <f>IF(ISNUMBER((Datos!N10-Datos!X10)/Datos!X10),(Datos!N10-Datos!X10)/Datos!X10," - ")</f>
        <v>-3.8461538461538464E-2</v>
      </c>
      <c r="H10" s="458">
        <f>IF(ISNUMBER(((NºAsuntos!G10/NºAsuntos!E10)-Datos!BD10)/Datos!BD10),((NºAsuntos!G10/NºAsuntos!E10)-Datos!BD10)/Datos!BD10," - ")</f>
        <v>5.1483949121744407E-2</v>
      </c>
      <c r="I10" s="459">
        <f>IF(ISNUMBER(((NºAsuntos!I10/NºAsuntos!G10)-Datos!BE10)/Datos!BE10),((NºAsuntos!I10/NºAsuntos!G10)-Datos!BE10)/Datos!BE10," - ")</f>
        <v>0.19254032258064513</v>
      </c>
      <c r="J10" s="464">
        <f>IF(ISNUMBER((('Resol  Asuntos'!D10/NºAsuntos!G10)-Datos!BF10)/Datos!BF10),(('Resol  Asuntos'!D10/NºAsuntos!G10)-Datos!BF10)/Datos!BF10," - ")</f>
        <v>0.27590940288263571</v>
      </c>
      <c r="K10" s="465">
        <f>IF(ISNUMBER((((NºAsuntos!C10+NºAsuntos!E10)/NºAsuntos!G10)-Datos!BG10)/Datos!BG10),(((NºAsuntos!C10+NºAsuntos!E10)/NºAsuntos!G10)-Datos!BG10)/Datos!BG10," - ")</f>
        <v>7.3348694316436244E-2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v>
      </c>
      <c r="C12" s="459" t="str">
        <f>IF(ISNUMBER(
   IF(J_V="SI",(Datos!J12-Datos!T12)/Datos!T12,(Datos!J12+Datos!Z12-(Datos!T12+Datos!AH12))/(Datos!T12+Datos!AH12))
     ),IF(J_V="SI",(Datos!J12-Datos!T12)/Datos!T12,(Datos!J12+Datos!Z12-(Datos!T12+Datos!AH12))/(Datos!T12+Datos!AH12))," - ")</f>
        <v xml:space="preserve"> - </v>
      </c>
      <c r="D12" s="459">
        <f>IF(ISNUMBER(
   IF(J_V="SI",(Datos!K12-Datos!U12)/Datos!U12,(Datos!K12+Datos!AA12-(Datos!U12+Datos!AI12))/(Datos!U12+Datos!AI12))
     ),IF(J_V="SI",(Datos!K12-Datos!U12)/Datos!U12,(Datos!K12+Datos!AA12-(Datos!U12+Datos!AI12))/(Datos!U12+Datos!AI12))," - ")</f>
        <v>-1</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f>IF(ISNUMBER((Datos!N12-Datos!X12)/Datos!X12),(Datos!N12-Datos!X12)/Datos!X12," - ")</f>
        <v>-1</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0.12887377173091458</v>
      </c>
      <c r="C13" s="858">
        <f>IF(ISNUMBER(
   IF(J_V="SI",(Datos!J13-Datos!T13)/Datos!T13,(Datos!J13+Datos!Z13-(Datos!T13+Datos!AH13))/(Datos!T13+Datos!AH13))
     ),IF(J_V="SI",(Datos!J13-Datos!T13)/Datos!T13,(Datos!J13+Datos!Z13-(Datos!T13+Datos!AH13))/(Datos!T13+Datos!AH13))," - ")</f>
        <v>0.14620908483633935</v>
      </c>
      <c r="D13" s="858">
        <f>IF(ISNUMBER(
   IF(J_V="SI",(Datos!K13-Datos!U13)/Datos!U13,(Datos!K13+Datos!AA13-(Datos!U13+Datos!AI13))/(Datos!U13+Datos!AI13))
     ),IF(J_V="SI",(Datos!K13-Datos!U13)/Datos!U13,(Datos!K13+Datos!AA13-(Datos!U13+Datos!AI13))/(Datos!U13+Datos!AI13))," - ")</f>
        <v>6.0560607481016215E-2</v>
      </c>
      <c r="E13" s="858">
        <f>IF(ISNUMBER(
   IF(J_V="SI",(Datos!L13-Datos!V13)/Datos!V13,(Datos!L13+Datos!AB13-(Datos!V13+Datos!AJ13))/(Datos!V13+Datos!AJ13))
     ),IF(J_V="SI",(Datos!L13-Datos!V13)/Datos!V13,(Datos!L13+Datos!AB13-(Datos!V13+Datos!AJ13))/(Datos!V13+Datos!AJ13))," - ")</f>
        <v>0.25354313134694789</v>
      </c>
      <c r="F13" s="859">
        <f>IF(ISNUMBER((Datos!M13-Datos!W13)/Datos!W13),(Datos!M13-Datos!W13)/Datos!W13," - ")</f>
        <v>2.9144768275203056E-2</v>
      </c>
      <c r="G13" s="860">
        <f>IF(ISNUMBER((Datos!N13-Datos!X13)/Datos!X13),(Datos!N13-Datos!X13)/Datos!X13," - ")</f>
        <v>0.41568112133158125</v>
      </c>
      <c r="H13" s="860">
        <f>IF(ISNUMBER(((NºAsuntos!G13/NºAsuntos!E13)-Datos!BD13)/Datos!BD13),((NºAsuntos!G13/NºAsuntos!E13)-Datos!BD13)/Datos!BD13," - ")</f>
        <v>-7.4723258163280376E-2</v>
      </c>
      <c r="I13" s="860">
        <f>IF(ISNUMBER(((NºAsuntos!I13/NºAsuntos!G13)-Datos!BE13)/Datos!BE13),((NºAsuntos!I13/NºAsuntos!G13)-Datos!BE13)/Datos!BE13," - ")</f>
        <v>0.18196274923343878</v>
      </c>
      <c r="J13" s="860">
        <f>IF(ISNUMBER((('Resol  Asuntos'!D13/NºAsuntos!G13)-Datos!BF13)/Datos!BF13),(('Resol  Asuntos'!D13/NºAsuntos!G13)-Datos!BF13)/Datos!BF13," - ")</f>
        <v>-0.55470262532158576</v>
      </c>
      <c r="K13" s="860">
        <f>IF(ISNUMBER((((NºAsuntos!C13+NºAsuntos!E13)/NºAsuntos!G13)-Datos!BG13)/Datos!BG13),(((NºAsuntos!C13+NºAsuntos!E13)/NºAsuntos!G13)-Datos!BG13)/Datos!BG13," - ")</f>
        <v>7.4242223972699903E-2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-8.5084033613445381E-2</v>
      </c>
      <c r="C15" s="459">
        <f>IF(ISNUMBER(
   IF(D_I="SI",(Datos!J15-Datos!T15)/Datos!T15,(Datos!J15+Datos!AD15-(Datos!T15+Datos!AL15))/(Datos!T15+Datos!AL15))
     ),IF(D_I="SI",(Datos!J15-Datos!T15)/Datos!T15,(Datos!J15+Datos!AD15-(Datos!T15+Datos!AL15))/(Datos!T15+Datos!AL15))," - ")</f>
        <v>8.27040952296349E-2</v>
      </c>
      <c r="D15" s="459">
        <f>IF(ISNUMBER(
   IF(D_I="SI",(Datos!K15-Datos!U15)/Datos!U15,(Datos!K15+Datos!AE15-(Datos!U15+Datos!AM15))/(Datos!U15+Datos!AM15))
     ),IF(D_I="SI",(Datos!K15-Datos!U15)/Datos!U15,(Datos!K15+Datos!AE15-(Datos!U15+Datos!AM15))/(Datos!U15+Datos!AM15))," - ")</f>
        <v>5.2146706066400136E-3</v>
      </c>
      <c r="E15" s="459">
        <f>IF(ISNUMBER(
   IF(D_I="SI",(Datos!L15-Datos!V15)/Datos!V15,(Datos!L15+Datos!AF15-(Datos!V15+Datos!AN15))/(Datos!V15+Datos!AN15))
     ),IF(D_I="SI",(Datos!L15-Datos!V15)/Datos!V15,(Datos!L15+Datos!AF15-(Datos!V15+Datos!AN15))/(Datos!V15+Datos!AN15))," - ")</f>
        <v>0.23804056639877536</v>
      </c>
      <c r="F15" s="459">
        <f>IF(ISNUMBER((Datos!M15-Datos!W15)/Datos!W15),(Datos!M15-Datos!W15)/Datos!W15," - ")</f>
        <v>-0.13093525179856116</v>
      </c>
      <c r="G15" s="460">
        <f>IF(ISNUMBER((Datos!N15-Datos!X15)/Datos!X15),(Datos!N15-Datos!X15)/Datos!X15," - ")</f>
        <v>0.12038523274478331</v>
      </c>
      <c r="H15" s="458">
        <f>IF(ISNUMBER(((NºAsuntos!G15/NºAsuntos!E15)-Datos!BD15)/Datos!BD15),((NºAsuntos!G15/NºAsuntos!E15)-Datos!BD15)/Datos!BD15," - ")</f>
        <v>-7.1570270182232859E-2</v>
      </c>
      <c r="I15" s="459">
        <f>IF(ISNUMBER(((NºAsuntos!I15/NºAsuntos!G15)-Datos!BE15)/Datos!BE15),((NºAsuntos!I15/NºAsuntos!G15)-Datos!BE15)/Datos!BE15," - ")</f>
        <v>0.23161808377868837</v>
      </c>
      <c r="J15" s="464">
        <f>IF(ISNUMBER((('Resol  Asuntos'!D15/NºAsuntos!G15)-Datos!BF15)/Datos!BF15),(('Resol  Asuntos'!D15/NºAsuntos!G15)-Datos!BF15)/Datos!BF15," - ")</f>
        <v>-0.13544362849682212</v>
      </c>
      <c r="K15" s="465">
        <f>IF(ISNUMBER((((NºAsuntos!C15+NºAsuntos!E15)/NºAsuntos!G15)-Datos!BG15)/Datos!BG15),(((NºAsuntos!C15+NºAsuntos!E15)/NºAsuntos!G15)-Datos!BG15)/Datos!BG15," - ")</f>
        <v>4.3308867917077332E-2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v>
      </c>
      <c r="C16" s="459" t="str">
        <f>IF(ISNUMBER(
   IF(D_I="SI",(Datos!J16-Datos!T16)/Datos!T16,(Datos!J16+Datos!AD16-(Datos!T16+Datos!AL16))/(Datos!T16+Datos!AL16))
     ),IF(D_I="SI",(Datos!J16-Datos!T16)/Datos!T16,(Datos!J16+Datos!AD16-(Datos!T16+Datos!AL16))/(Datos!T16+Datos!AL16))," - ")</f>
        <v xml:space="preserve"> - </v>
      </c>
      <c r="D16" s="459">
        <f>IF(ISNUMBER(
   IF(D_I="SI",(Datos!K16-Datos!U16)/Datos!U16,(Datos!K16+Datos!AE16-(Datos!U16+Datos!AM16))/(Datos!U16+Datos!AM16))
     ),IF(D_I="SI",(Datos!K16-Datos!U16)/Datos!U16,(Datos!K16+Datos!AE16-(Datos!U16+Datos!AM16))/(Datos!U16+Datos!AM16))," - ")</f>
        <v>0</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f>IF(ISNUMBER((Datos!N16-Datos!X16)/Datos!X16),(Datos!N16-Datos!X16)/Datos!X16," - ")</f>
        <v>0</v>
      </c>
      <c r="H16" s="458" t="str">
        <f>IF(ISNUMBER(((NºAsuntos!G16/NºAsuntos!E16)-Datos!BD16)/Datos!BD16),((NºAsuntos!G16/NºAsuntos!E16)-Datos!BD16)/Datos!BD16," - ")</f>
        <v xml:space="preserve"> - </v>
      </c>
      <c r="I16" s="459">
        <f>IF(ISNUMBER(((NºAsuntos!I16/NºAsuntos!G16)-Datos!BE16)/Datos!BE16),((NºAsuntos!I16/NºAsuntos!G16)-Datos!BE16)/Datos!BE16," - ")</f>
        <v>0</v>
      </c>
      <c r="J16" s="464" t="str">
        <f>IF(ISNUMBER((('Resol  Asuntos'!D16/NºAsuntos!G16)-Datos!BF16)/Datos!BF16),(('Resol  Asuntos'!D16/NºAsuntos!G16)-Datos!BF16)/Datos!BF16," - ")</f>
        <v xml:space="preserve"> - </v>
      </c>
      <c r="K16" s="465">
        <f>IF(ISNUMBER((((NºAsuntos!C16+NºAsuntos!E16)/NºAsuntos!G16)-Datos!BG16)/Datos!BG16),(((NºAsuntos!C16+NºAsuntos!E16)/NºAsuntos!G16)-Datos!BG16)/Datos!BG16," - ")</f>
        <v>-0.1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0.32500000000000001</v>
      </c>
      <c r="C17" s="459">
        <f>IF(ISNUMBER(
   IF(D_I="SI",(Datos!J17-Datos!T17)/Datos!T17,(Datos!J17+Datos!AD17-(Datos!T17+Datos!AL17))/(Datos!T17+Datos!AL17))
     ),IF(D_I="SI",(Datos!J17-Datos!T17)/Datos!T17,(Datos!J17+Datos!AD17-(Datos!T17+Datos!AL17))/(Datos!T17+Datos!AL17))," - ")</f>
        <v>-6.3021316033364222E-2</v>
      </c>
      <c r="D17" s="459">
        <f>IF(ISNUMBER(
   IF(D_I="SI",(Datos!K17-Datos!U17)/Datos!U17,(Datos!K17+Datos!AE17-(Datos!U17+Datos!AM17))/(Datos!U17+Datos!AM17))
     ),IF(D_I="SI",(Datos!K17-Datos!U17)/Datos!U17,(Datos!K17+Datos!AE17-(Datos!U17+Datos!AM17))/(Datos!U17+Datos!AM17))," - ")</f>
        <v>2.973240832507433E-3</v>
      </c>
      <c r="E17" s="459">
        <f>IF(ISNUMBER(
   IF(D_I="SI",(Datos!L17-Datos!V17)/Datos!V17,(Datos!L17+Datos!AF17-(Datos!V17+Datos!AN17))/(Datos!V17+Datos!AN17))
     ),IF(D_I="SI",(Datos!L17-Datos!V17)/Datos!V17,(Datos!L17+Datos!AF17-(Datos!V17+Datos!AN17))/(Datos!V17+Datos!AN17))," - ")</f>
        <v>-6.2893081761006293E-3</v>
      </c>
      <c r="F17" s="459">
        <f>IF(ISNUMBER((Datos!M17-Datos!W17)/Datos!W17),(Datos!M17-Datos!W17)/Datos!W17," - ")</f>
        <v>0.11336032388663968</v>
      </c>
      <c r="G17" s="460">
        <f>IF(ISNUMBER((Datos!N17-Datos!X17)/Datos!X17),(Datos!N17-Datos!X17)/Datos!X17," - ")</f>
        <v>-0.2066365007541478</v>
      </c>
      <c r="H17" s="458">
        <f>IF(ISNUMBER(((NºAsuntos!G17/NºAsuntos!E17)-Datos!BD17)/Datos!BD17),((NºAsuntos!G17/NºAsuntos!E17)-Datos!BD17)/Datos!BD17," - ")</f>
        <v>7.0433359899382333E-2</v>
      </c>
      <c r="I17" s="459">
        <f>IF(ISNUMBER(((NºAsuntos!I17/NºAsuntos!G17)-Datos!BE17)/Datos!BE17),((NºAsuntos!I17/NºAsuntos!G17)-Datos!BE17)/Datos!BE17," - ")</f>
        <v>-9.2350908593731643E-3</v>
      </c>
      <c r="J17" s="464">
        <f>IF(ISNUMBER((('Resol  Asuntos'!D17/NºAsuntos!G17)-Datos!BF17)/Datos!BF17),(('Resol  Asuntos'!D17/NºAsuntos!G17)-Datos!BF17)/Datos!BF17," - ")</f>
        <v>0.11005984861820095</v>
      </c>
      <c r="K17" s="465">
        <f>IF(ISNUMBER((((NºAsuntos!C17+NºAsuntos!E17)/NºAsuntos!G17)-Datos!BG17)/Datos!BG17),(((NºAsuntos!C17+NºAsuntos!E17)/NºAsuntos!G17)-Datos!BG17)/Datos!BG17," - ")</f>
        <v>-2.7079549163169545E-2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-6.865371734762224E-2</v>
      </c>
      <c r="C18" s="858">
        <f>IF(ISNUMBER(
   IF(Criterios!B14="SI",(Datos!J18-Datos!T18)/Datos!T18,(Datos!J18+Datos!AD18-(Datos!T18+Datos!AL18))/(Datos!T18+Datos!AL18))
     ),IF(Criterios!B14="SI",(Datos!J18-Datos!T18)/Datos!T18,(Datos!J18+Datos!AD18-(Datos!T18+Datos!AL18))/(Datos!T18+Datos!AL18))," - ")</f>
        <v>6.9957846952010377E-2</v>
      </c>
      <c r="D18" s="858">
        <f>IF(ISNUMBER(
   IF(Criterios!B14="SI",(Datos!K18-Datos!U18)/Datos!U18,(Datos!K18+Datos!AE18-(Datos!U18+Datos!AM18))/(Datos!U18+Datos!AM18))
     ),IF(Criterios!B14="SI",(Datos!K18-Datos!U18)/Datos!U18,(Datos!K18+Datos!AE18-(Datos!U18+Datos!AM18))/(Datos!U18+Datos!AM18))," - ")</f>
        <v>5.0335570469798654E-3</v>
      </c>
      <c r="E18" s="858">
        <f>IF(ISNUMBER(
   IF(Criterios!B14="SI",(Datos!L18-Datos!V18)/Datos!V18,(Datos!L18+Datos!AF18-(Datos!V18+Datos!AN18))/(Datos!V18+Datos!AN18))
     ),IF(Criterios!B14="SI",(Datos!L18-Datos!V18)/Datos!V18,(Datos!L18+Datos!AF18-(Datos!V18+Datos!AN18))/(Datos!V18+Datos!AN18))," - ")</f>
        <v>0.22330097087378642</v>
      </c>
      <c r="F18" s="859">
        <f>IF(ISNUMBER((Datos!M18-Datos!W18)/Datos!W18),(Datos!M18-Datos!W18)/Datos!W18," - ")</f>
        <v>-9.407452657299939E-2</v>
      </c>
      <c r="G18" s="860">
        <f>IF(ISNUMBER((Datos!N18-Datos!X18)/Datos!X18),(Datos!N18-Datos!X18)/Datos!X18," - ")</f>
        <v>9.3734643734643741E-2</v>
      </c>
      <c r="H18" s="860">
        <f>IF(ISNUMBER(((NºAsuntos!G18/NºAsuntos!E18)-Datos!BD18)/Datos!BD18),((NºAsuntos!G18/NºAsuntos!E18)-Datos!BD18)/Datos!BD18," - ")</f>
        <v>-6.0679296936772112E-2</v>
      </c>
      <c r="I18" s="860">
        <f>IF(ISNUMBER(((NºAsuntos!I18/NºAsuntos!G18)-Datos!BE18)/Datos!BE18),((NºAsuntos!I18/NºAsuntos!G18)-Datos!BE18)/Datos!BE18," - ")</f>
        <v>0.21717425482600441</v>
      </c>
      <c r="J18" s="860">
        <f>IF(ISNUMBER((('Resol  Asuntos'!D18/NºAsuntos!G18)-Datos!BF18)/Datos!BF18),(('Resol  Asuntos'!D18/NºAsuntos!G18)-Datos!BF18)/Datos!BF18," - ")</f>
        <v>-9.8611715922383436E-2</v>
      </c>
      <c r="K18" s="860">
        <f>IF(ISNUMBER((((NºAsuntos!C18+NºAsuntos!E18)/NºAsuntos!G18)-Datos!BG18)/Datos!BG18),(((NºAsuntos!C18+NºAsuntos!E18)/NºAsuntos!G18)-Datos!BG18)/Datos!BG18," - ")</f>
        <v>3.7721355633622444E-2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7.4880995972171363E-2</v>
      </c>
      <c r="C19" s="805">
        <f>IF(ISNUMBER(
   IF(J_V="SI",(Datos!J19-Datos!T19)/Datos!T19,(Datos!J19+Datos!Z19-(Datos!T19+Datos!AH19))/(Datos!T19+Datos!AH19))
     ),IF(J_V="SI",(Datos!J19-Datos!T19)/Datos!T19,(Datos!J19+Datos!Z19-(Datos!T19+Datos!AH19))/(Datos!T19+Datos!AH19))," - ")</f>
        <v>0.1075189206975979</v>
      </c>
      <c r="D19" s="805">
        <f>IF(ISNUMBER(
   IF(J_V="SI",(Datos!K19-Datos!U19)/Datos!U19,(Datos!K19+Datos!AA19-(Datos!U19+Datos!AI19))/(Datos!U19+Datos!AI19))
     ),IF(J_V="SI",(Datos!K19-Datos!U19)/Datos!U19,(Datos!K19+Datos!AA19-(Datos!U19+Datos!AI19))/(Datos!U19+Datos!AI19))," - ")</f>
        <v>3.0582754604667212E-2</v>
      </c>
      <c r="E19" s="805">
        <f>IF(ISNUMBER(
   IF(J_V="SI",(Datos!L19-Datos!V19)/Datos!V19,(Datos!L19+Datos!AB19-(Datos!V19+Datos!AJ19))/(Datos!V19+Datos!AJ19))
     ),IF(J_V="SI",(Datos!L19-Datos!V19)/Datos!V19,(Datos!L19+Datos!AB19-(Datos!V19+Datos!AJ19))/(Datos!V19+Datos!AJ19))," - ")</f>
        <v>0.24638051439277805</v>
      </c>
      <c r="F19" s="806">
        <f>IF(ISNUMBER((Datos!M19-Datos!W19)/Datos!W19),(Datos!M19-Datos!W19)/Datos!W19," - ")</f>
        <v>-2.4932975871313674E-2</v>
      </c>
      <c r="G19" s="807">
        <f>IF(ISNUMBER((Datos!N19-Datos!X19)/Datos!X19),(Datos!N19-Datos!X19)/Datos!X19," - ")</f>
        <v>0.20942861640169999</v>
      </c>
      <c r="H19" s="808">
        <f>IF(ISNUMBER((Tasas!B19-Datos!BD19)/Datos!BD19),(Tasas!B19-Datos!BD19)/Datos!BD19," - ")</f>
        <v>-6.9467134741563227E-2</v>
      </c>
      <c r="I19" s="809">
        <f>IF(ISNUMBER((Tasas!C19-Datos!BE19)/Datos!BE19),(Tasas!C19-Datos!BE19)/Datos!BE19," - ")</f>
        <v>0.20939391700852886</v>
      </c>
      <c r="J19" s="810">
        <f>IF(ISNUMBER((Tasas!D19-Datos!BF19)/Datos!BF19),(Tasas!D19-Datos!BF19)/Datos!BF19," - ")</f>
        <v>-0.43061128120535097</v>
      </c>
      <c r="K19" s="810">
        <f>IF(ISNUMBER((Tasas!E19-Datos!BG19)/Datos!BG19),(Tasas!E19-Datos!BG19)/Datos!BG19," - ")</f>
        <v>6.483480444989545E-2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dX3Y90bKMeb+MqugCgeVhbB97nGjIMIkvtJoY3CVd2xzriYKqkG7H9igM7s+IubYvHtEVrCk6Oan/QKjMHXIw==" saltValue="o9WWwAhVgTKTFaHJtF1l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SAN BARTOLOME DE TIRAJANA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0.82272058823529415</v>
      </c>
      <c r="C9" s="446">
        <f>IF(ISNUMBER(NºAsuntos!I9/NºAsuntos!G9),NºAsuntos!I9/NºAsuntos!G9," - ")</f>
        <v>0.9952632049334168</v>
      </c>
      <c r="D9" s="447">
        <f>IF(ISNUMBER('Resol  Asuntos'!D9/NºAsuntos!G9),'Resol  Asuntos'!D9/NºAsuntos!G9," - ")</f>
        <v>0.18786307981052819</v>
      </c>
      <c r="E9" s="448">
        <f>IF(ISNUMBER((NºAsuntos!C9+NºAsuntos!E9)/NºAsuntos!G9),(NºAsuntos!C9+NºAsuntos!E9)/NºAsuntos!G9," - ")</f>
        <v>2.0079542407721869</v>
      </c>
      <c r="G9" s="466"/>
    </row>
    <row r="10" spans="1:7">
      <c r="A10" s="405" t="str">
        <f>Datos!A10</f>
        <v>Jdos. Violencia contra la mujer</v>
      </c>
      <c r="B10" s="445">
        <f>IF(ISNUMBER(NºAsuntos!G10/NºAsuntos!E10),NºAsuntos!G10/NºAsuntos!E10," - ")</f>
        <v>0.97637795275590555</v>
      </c>
      <c r="C10" s="446">
        <f>IF(ISNUMBER(NºAsuntos!I10/NºAsuntos!G10),NºAsuntos!I10/NºAsuntos!G10," - ")</f>
        <v>0.7338709677419355</v>
      </c>
      <c r="D10" s="447">
        <f>IF(ISNUMBER('Resol  Asuntos'!D10/NºAsuntos!G10),'Resol  Asuntos'!D10/NºAsuntos!G10," - ")</f>
        <v>0.41935483870967744</v>
      </c>
      <c r="E10" s="448">
        <f>IF(ISNUMBER((NºAsuntos!C10+NºAsuntos!E10)/NºAsuntos!G10),(NºAsuntos!C10+NºAsuntos!E10)/NºAsuntos!G10," - ")</f>
        <v>1.7338709677419355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0.82414220150069206</v>
      </c>
      <c r="C13" s="862">
        <f>IF(ISNUMBER(NºAsuntos!I13/NºAsuntos!G13),NºAsuntos!I13/NºAsuntos!G13," - ")</f>
        <v>0.99292848934853706</v>
      </c>
      <c r="D13" s="863">
        <f>IF(ISNUMBER('Resol  Asuntos'!D13/NºAsuntos!G13),'Resol  Asuntos'!D13/NºAsuntos!G13," - ")</f>
        <v>0.19040042429063908</v>
      </c>
      <c r="E13" s="864">
        <f>IF(ISNUMBER((NºAsuntos!C13+NºAsuntos!E13)/NºAsuntos!G13),(NºAsuntos!C13+NºAsuntos!E13)/NºAsuntos!G13," - ")</f>
        <v>2.0054804207548838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0.948966196258615</v>
      </c>
      <c r="C15" s="446">
        <f>IF(ISNUMBER(NºAsuntos!I15/NºAsuntos!G15),NºAsuntos!I15/NºAsuntos!G15," - ")</f>
        <v>0.27969911810478992</v>
      </c>
      <c r="D15" s="447">
        <f>IF(ISNUMBER('Resol  Asuntos'!D15/NºAsuntos!G15),'Resol  Asuntos'!D15/NºAsuntos!G15," - ")</f>
        <v>0.10444406017637904</v>
      </c>
      <c r="E15" s="448">
        <f>IF(ISNUMBER((NºAsuntos!C15+NºAsuntos!E15)/NºAsuntos!G15),(NºAsuntos!C15+NºAsuntos!E15)/NºAsuntos!G15," - ")</f>
        <v>1.2796991181047899</v>
      </c>
      <c r="G15" s="466"/>
    </row>
    <row r="16" spans="1:7">
      <c r="A16" s="405" t="str">
        <f>Datos!A16</f>
        <v xml:space="preserve">Jdos. 1ª Instª. e Instr.                        </v>
      </c>
      <c r="B16" s="445" t="str">
        <f>IF(ISNUMBER(NºAsuntos!G16/NºAsuntos!E16),NºAsuntos!G16/NºAsuntos!E16," - ")</f>
        <v xml:space="preserve"> - </v>
      </c>
      <c r="C16" s="446">
        <f>IF(ISNUMBER(NºAsuntos!I16/NºAsuntos!G16),NºAsuntos!I16/NºAsuntos!G16," - ")</f>
        <v>9</v>
      </c>
      <c r="D16" s="447">
        <f>IF(ISNUMBER('Resol  Asuntos'!D16/NºAsuntos!G16),'Resol  Asuntos'!D16/NºAsuntos!G16," - ")</f>
        <v>0</v>
      </c>
      <c r="E16" s="448">
        <f>IF(ISNUMBER((NºAsuntos!C16+NºAsuntos!E16)/NºAsuntos!G16),(NºAsuntos!C16+NºAsuntos!E16)/NºAsuntos!G16," - ")</f>
        <v>9</v>
      </c>
      <c r="G16" s="466"/>
    </row>
    <row r="17" spans="1:7" ht="13.5" thickBot="1">
      <c r="A17" s="405" t="str">
        <f>Datos!A17</f>
        <v>Jdos. Violencia contra la mujer</v>
      </c>
      <c r="B17" s="445">
        <f>IF(ISNUMBER(NºAsuntos!G17/NºAsuntos!E17),NºAsuntos!G17/NºAsuntos!E17," - ")</f>
        <v>1.0009891196834817</v>
      </c>
      <c r="C17" s="446">
        <f>IF(ISNUMBER(NºAsuntos!I17/NºAsuntos!G17),NºAsuntos!I17/NºAsuntos!G17," - ")</f>
        <v>0.15612648221343872</v>
      </c>
      <c r="D17" s="447">
        <f>IF(ISNUMBER('Resol  Asuntos'!D17/NºAsuntos!G17),'Resol  Asuntos'!D17/NºAsuntos!G17," - ")</f>
        <v>0.27173913043478259</v>
      </c>
      <c r="E17" s="448">
        <f>IF(ISNUMBER((NºAsuntos!C17+NºAsuntos!E17)/NºAsuntos!G17),(NºAsuntos!C17+NºAsuntos!E17)/NºAsuntos!G17," - ")</f>
        <v>1.1561264822134387</v>
      </c>
      <c r="G17" s="466"/>
    </row>
    <row r="18" spans="1:7" ht="14.25" thickTop="1" thickBot="1">
      <c r="A18" s="851" t="str">
        <f>Datos!A18</f>
        <v>TOTAL</v>
      </c>
      <c r="B18" s="861">
        <f>IF(ISNUMBER(NºAsuntos!G18/NºAsuntos!E18),NºAsuntos!G18/NºAsuntos!E18," - ")</f>
        <v>0.95302674445033719</v>
      </c>
      <c r="C18" s="862">
        <f>IF(ISNUMBER(NºAsuntos!I18/NºAsuntos!G18),NºAsuntos!I18/NºAsuntos!G18," - ")</f>
        <v>0.27045075125208679</v>
      </c>
      <c r="D18" s="865">
        <f>IF(ISNUMBER('Resol  Asuntos'!D18/NºAsuntos!G18),'Resol  Asuntos'!D18/NºAsuntos!G18," - ")</f>
        <v>0.11789490420542173</v>
      </c>
      <c r="E18" s="864">
        <f>IF(ISNUMBER((NºAsuntos!C18+NºAsuntos!E18)/NºAsuntos!G18),(NºAsuntos!C18+NºAsuntos!E18)/NºAsuntos!G18," - ")</f>
        <v>1.2703712536767628</v>
      </c>
      <c r="G18" s="466"/>
    </row>
    <row r="19" spans="1:7" ht="15.75" customHeight="1" thickTop="1" thickBot="1">
      <c r="A19" s="796" t="str">
        <f>Datos!A19</f>
        <v>TOTAL JURISDICCIONES</v>
      </c>
      <c r="B19" s="811">
        <f>IF(ISNUMBER(NºAsuntos!G19/NºAsuntos!E19),NºAsuntos!G19/NºAsuntos!E19," - ")</f>
        <v>0.88732080516972445</v>
      </c>
      <c r="C19" s="812">
        <f>IF(ISNUMBER(NºAsuntos!I19/NºAsuntos!G19),NºAsuntos!I19/NºAsuntos!G19," - ")</f>
        <v>0.61254813326636526</v>
      </c>
      <c r="D19" s="813">
        <f>IF(ISNUMBER('Resol  Asuntos'!D19/NºAsuntos!G19),'Resol  Asuntos'!D19/NºAsuntos!G19," - ")</f>
        <v>0.15222668675707349</v>
      </c>
      <c r="E19" s="814">
        <f>IF(ISNUMBER((NºAsuntos!C19+NºAsuntos!E19)/NºAsuntos!G19),(NºAsuntos!C19+NºAsuntos!E19)/NºAsuntos!G19," - ")</f>
        <v>1.6184496902728946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UZRtsOrHoHjFQHMRv1pRXsGusViLBro5kTzmThiXmnPWz57MWbVPNR1RlPWf7c7DcN5gY4FR3N9JMusxFCnnA==" saltValue="ZYxMxvf+U2hG4IhcYGyW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SAN BARTOLOME DE TIRAJANA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1890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985</v>
      </c>
      <c r="Y9" s="337">
        <f>SUM(W9:X9)</f>
        <v>985</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10641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2102</v>
      </c>
      <c r="AJ9" s="232" t="str">
        <f>IF(ISNUMBER(Datos!BW9),Datos!BW9," - ")</f>
        <v xml:space="preserve"> - </v>
      </c>
      <c r="AK9" s="231" t="str">
        <f>IF(ISNUMBER(Datos!BX9),Datos!BX9," - ")</f>
        <v xml:space="preserve"> - </v>
      </c>
      <c r="AL9" s="246">
        <f>IF(ISNUMBER(NºAsuntos!G9/NºAsuntos!E9),NºAsuntos!G9/NºAsuntos!E9," - ")</f>
        <v>0.82272058823529415</v>
      </c>
      <c r="AM9" s="263">
        <f>IF(ISNUMBER(((NºAsuntos!I9/NºAsuntos!G9)*11)/factor_trimestre),((NºAsuntos!I9/NºAsuntos!G9)*11)/factor_trimestre," - ")</f>
        <v>10.947895254267586</v>
      </c>
      <c r="AN9" s="247">
        <f>IF(ISNUMBER('Resol  Asuntos'!D9/NºAsuntos!G9),'Resol  Asuntos'!D9/NºAsuntos!G9," - ")</f>
        <v>0.18786307981052819</v>
      </c>
      <c r="AO9" s="248">
        <f>IF(ISNUMBER((NºAsuntos!C9+NºAsuntos!E9)/NºAsuntos!G9),(NºAsuntos!C9+NºAsuntos!E9)/NºAsuntos!G9," - ")</f>
        <v>2.0079542407721869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88</v>
      </c>
      <c r="G10" s="336">
        <f>IF(ISNUMBER(Datos!I10),Datos!I10," - ")</f>
        <v>88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124</v>
      </c>
      <c r="X10" s="229">
        <f>IF(ISNUMBER(Datos!Q10),Datos!Q10," - ")</f>
        <v>12</v>
      </c>
      <c r="Y10" s="337">
        <f t="shared" ref="Y10:Y12" si="0">SUM(W10:X10)</f>
        <v>136</v>
      </c>
      <c r="Z10" s="338" t="str">
        <f>IF(ISNUMBER(Datos!CC10),Datos!CC10," - ")</f>
        <v xml:space="preserve"> - </v>
      </c>
      <c r="AA10" s="335">
        <f>IF(ISNUMBER(Datos!L10),Datos!L10,"-")</f>
        <v>91</v>
      </c>
      <c r="AB10" s="337">
        <f>IF(ISNUMBER(Datos!R10),Datos!R10," - ")</f>
        <v>43</v>
      </c>
      <c r="AC10" s="337">
        <f t="shared" ref="AC10:AC12" si="1">IF(ISNUMBER(AA10+AB10),AA10+AB10," - ")</f>
        <v>134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52</v>
      </c>
      <c r="AJ10" s="234" t="str">
        <f>IF(ISNUMBER(Datos!BW10),Datos!BW10," - ")</f>
        <v xml:space="preserve"> - </v>
      </c>
      <c r="AK10" s="235" t="str">
        <f>IF(ISNUMBER(Datos!BX10),Datos!BX10," - ")</f>
        <v xml:space="preserve"> - </v>
      </c>
      <c r="AL10" s="246">
        <f>IF(ISNUMBER(NºAsuntos!G10/NºAsuntos!E10),NºAsuntos!G10/NºAsuntos!E10," - ")</f>
        <v>0.97637795275590555</v>
      </c>
      <c r="AM10" s="263">
        <f>IF(ISNUMBER(((NºAsuntos!I10/NºAsuntos!G10)*11)/factor_trimestre),((NºAsuntos!I10/NºAsuntos!G10)*11)/factor_trimestre," - ")</f>
        <v>8.07258064516129</v>
      </c>
      <c r="AN10" s="247">
        <f>IF(ISNUMBER('Resol  Asuntos'!D10/NºAsuntos!G10),'Resol  Asuntos'!D10/NºAsuntos!G10," - ")</f>
        <v>0.41935483870967744</v>
      </c>
      <c r="AO10" s="248">
        <f>IF(ISNUMBER((NºAsuntos!C10+NºAsuntos!E10)/NºAsuntos!G10),(NºAsuntos!C10+NºAsuntos!E10)/NºAsuntos!G10," - ")</f>
        <v>1.7338709677419355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v>
      </c>
      <c r="Y12" s="337">
        <f t="shared" si="0"/>
        <v>11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618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88</v>
      </c>
      <c r="G13" s="869">
        <f t="shared" si="3"/>
        <v>88</v>
      </c>
      <c r="H13" s="868">
        <f t="shared" si="3"/>
        <v>0</v>
      </c>
      <c r="I13" s="870">
        <f t="shared" si="3"/>
        <v>0</v>
      </c>
      <c r="J13" s="870">
        <f t="shared" si="3"/>
        <v>0</v>
      </c>
      <c r="K13" s="870">
        <f t="shared" si="3"/>
        <v>0</v>
      </c>
      <c r="L13" s="870">
        <f t="shared" si="3"/>
        <v>1900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124</v>
      </c>
      <c r="X13" s="870">
        <f t="shared" si="4"/>
        <v>1008</v>
      </c>
      <c r="Y13" s="871">
        <f t="shared" si="4"/>
        <v>1132</v>
      </c>
      <c r="Z13" s="871">
        <f t="shared" si="4"/>
        <v>0</v>
      </c>
      <c r="AA13" s="871">
        <f t="shared" si="4"/>
        <v>91</v>
      </c>
      <c r="AB13" s="871">
        <f t="shared" si="4"/>
        <v>11302</v>
      </c>
      <c r="AC13" s="871">
        <f t="shared" si="4"/>
        <v>134</v>
      </c>
      <c r="AD13" s="871">
        <f t="shared" si="4"/>
        <v>0</v>
      </c>
      <c r="AE13" s="875">
        <f t="shared" si="4"/>
        <v>0</v>
      </c>
      <c r="AF13" s="868">
        <f t="shared" si="4"/>
        <v>0</v>
      </c>
      <c r="AG13" s="876">
        <f t="shared" si="4"/>
        <v>0</v>
      </c>
      <c r="AH13" s="873">
        <f t="shared" si="4"/>
        <v>0</v>
      </c>
      <c r="AI13" s="868">
        <f t="shared" si="4"/>
        <v>2154</v>
      </c>
      <c r="AJ13" s="870">
        <f t="shared" si="4"/>
        <v>0</v>
      </c>
      <c r="AK13" s="873">
        <f>SUBTOTAL(9,AK9:AK12)</f>
        <v>0</v>
      </c>
      <c r="AL13" s="877">
        <f>IF(ISNUMBER(NºAsuntos!G13/NºAsuntos!E13),NºAsuntos!G13/NºAsuntos!E13," - ")</f>
        <v>0.82414220150069206</v>
      </c>
      <c r="AM13" s="877">
        <f>IF(ISNUMBER(((NºAsuntos!I13/NºAsuntos!G13)*11)/factor_trimestre),((NºAsuntos!I13/NºAsuntos!G13)*11)/factor_trimestre," - ")</f>
        <v>10.922213382833908</v>
      </c>
      <c r="AN13" s="878">
        <f>IF(ISNUMBER('Resol  Asuntos'!D13/NºAsuntos!G13),'Resol  Asuntos'!D13/NºAsuntos!G13," - ")</f>
        <v>0.19040042429063908</v>
      </c>
      <c r="AO13" s="879">
        <f>IF(ISNUMBER((NºAsuntos!C13+NºAsuntos!E13)/NºAsuntos!G13),(NºAsuntos!C13+NºAsuntos!E13)/NºAsuntos!G13," - ")</f>
        <v>2.0054804207548838</v>
      </c>
      <c r="AP13" s="880" t="str">
        <f t="shared" si="2"/>
        <v xml:space="preserve"> - </v>
      </c>
      <c r="AQ13" s="880">
        <f>IF(ISNUMBER((H13-W13+K13)/(F13)),(H13-W13+K13)/(F13)," - ")</f>
        <v>-1.4090909090909092</v>
      </c>
      <c r="AR13" s="881">
        <f>IF(ISNUMBER((Datos!P13-Datos!Q13)/(Datos!R13-Datos!P13+Datos!Q13)),(Datos!P13-Datos!Q13)/(Datos!R13-Datos!P13+Datos!Q13)," - ")</f>
        <v>8.5686839577329491E-2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2613</v>
      </c>
      <c r="G15" s="336">
        <f>IF(ISNUMBER(IF(D_I="SI",Datos!I15,Datos!I15+Datos!AC15)),IF(D_I="SI",Datos!I15,Datos!I15+Datos!AC15)," - ")</f>
        <v>2613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358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11566</v>
      </c>
      <c r="X15" s="229">
        <f>IF(ISNUMBER(Datos!Q15),Datos!Q15," - ")</f>
        <v>291</v>
      </c>
      <c r="Y15" s="337">
        <f>SUM(W15)</f>
        <v>11566</v>
      </c>
      <c r="Z15" s="338" t="str">
        <f>IF(ISNUMBER(Datos!CC15),Datos!CC15," - ")</f>
        <v xml:space="preserve"> - </v>
      </c>
      <c r="AA15" s="335">
        <f>IF(ISNUMBER(IF(D_I="SI",Datos!L15,Datos!L15+Datos!AF15)),IF(D_I="SI",Datos!L15,Datos!L15+Datos!AF15)," - ")</f>
        <v>3235</v>
      </c>
      <c r="AB15" s="337">
        <f>IF(ISNUMBER(Datos!R15),Datos!R15," - ")</f>
        <v>427</v>
      </c>
      <c r="AC15" s="337">
        <f t="shared" ref="AC15:AC17" si="6">IF(ISNUMBER(AA15+AB15),AA15+AB15," - ")</f>
        <v>3662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1208</v>
      </c>
      <c r="AJ15" s="234" t="str">
        <f>IF(ISNUMBER(Datos!BW15),Datos!BW15," - ")</f>
        <v xml:space="preserve"> - </v>
      </c>
      <c r="AK15" s="235" t="str">
        <f>IF(ISNUMBER(Datos!BX15),Datos!BX15," - ")</f>
        <v xml:space="preserve"> - </v>
      </c>
      <c r="AL15" s="246">
        <f>IF(ISNUMBER(NºAsuntos!G15/NºAsuntos!E15),NºAsuntos!G15/NºAsuntos!E15," - ")</f>
        <v>0.948966196258615</v>
      </c>
      <c r="AM15" s="263">
        <f>IF(ISNUMBER(((NºAsuntos!I15/NºAsuntos!G15)*11)/factor_trimestre),((NºAsuntos!I15/NºAsuntos!G15)*11)/factor_trimestre," - ")</f>
        <v>3.076690299152689</v>
      </c>
      <c r="AN15" s="247">
        <f>IF(ISNUMBER('Resol  Asuntos'!D15/NºAsuntos!G15),'Resol  Asuntos'!D15/NºAsuntos!G15," - ")</f>
        <v>0.10444406017637904</v>
      </c>
      <c r="AO15" s="248">
        <f>IF(ISNUMBER((NºAsuntos!C15+NºAsuntos!E15)/NºAsuntos!G15),(NºAsuntos!C15+NºAsuntos!E15)/NºAsuntos!G15," - ")</f>
        <v>1.2796991181047899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10</v>
      </c>
      <c r="G16" s="336">
        <f>IF(ISNUMBER(IF(D_I="SI",Datos!I16,Datos!I16+Datos!AC16)),IF(D_I="SI",Datos!I16,Datos!I16+Datos!AC16)," - ")</f>
        <v>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v>
      </c>
      <c r="X16" s="229">
        <f>IF(ISNUMBER(Datos!Q16),Datos!Q16," - ")</f>
        <v>0</v>
      </c>
      <c r="Y16" s="337">
        <f t="shared" ref="Y16:Y17" si="7">SUM(W16:X16)</f>
        <v>1</v>
      </c>
      <c r="Z16" s="338" t="str">
        <f>IF(ISNUMBER(Datos!CC16),Datos!CC16," - ")</f>
        <v xml:space="preserve"> - </v>
      </c>
      <c r="AA16" s="335">
        <f>IF(ISNUMBER(IF(D_I="SI",Datos!L16,Datos!L16+Datos!AF16)),IF(D_I="SI",Datos!L16,Datos!L16+Datos!AF16)," - ")</f>
        <v>9</v>
      </c>
      <c r="AB16" s="337">
        <f>IF(ISNUMBER(Datos!R16),Datos!R16," - ")</f>
        <v>2</v>
      </c>
      <c r="AC16" s="337">
        <f t="shared" si="6"/>
        <v>11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f>IF(ISNUMBER(((NºAsuntos!I16/NºAsuntos!G16)*11)/factor_trimestre),((NºAsuntos!I16/NºAsuntos!G16)*11)/factor_trimestre," - ")</f>
        <v>99</v>
      </c>
      <c r="AN16" s="247">
        <f>IF(ISNUMBER('Resol  Asuntos'!D16/NºAsuntos!G16),'Resol  Asuntos'!D16/NºAsuntos!G16," - ")</f>
        <v>0</v>
      </c>
      <c r="AO16" s="248">
        <f>IF(ISNUMBER((NºAsuntos!C16+NºAsuntos!E16)/NºAsuntos!G16),(NºAsuntos!C16+NºAsuntos!E16)/NºAsuntos!G16," - ")</f>
        <v>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159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1012</v>
      </c>
      <c r="X17" s="229">
        <f>IF(ISNUMBER(Datos!Q17),Datos!Q17," - ")</f>
        <v>60</v>
      </c>
      <c r="Y17" s="337">
        <f t="shared" si="7"/>
        <v>1072</v>
      </c>
      <c r="Z17" s="338" t="str">
        <f>IF(ISNUMBER(Datos!CC17),Datos!CC17," - ")</f>
        <v xml:space="preserve"> - </v>
      </c>
      <c r="AA17" s="335">
        <f>IF(ISNUMBER(Datos!L17),Datos!L17,"-")</f>
        <v>158</v>
      </c>
      <c r="AB17" s="337">
        <f>IF(ISNUMBER(Datos!R17),Datos!R17," - ")</f>
        <v>41</v>
      </c>
      <c r="AC17" s="337">
        <f t="shared" si="6"/>
        <v>199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275</v>
      </c>
      <c r="AJ17" s="234" t="str">
        <f>IF(ISNUMBER(Datos!BW17),Datos!BW17," - ")</f>
        <v xml:space="preserve"> - </v>
      </c>
      <c r="AK17" s="235" t="str">
        <f>IF(ISNUMBER(Datos!BX17),Datos!BX17," - ")</f>
        <v xml:space="preserve"> - </v>
      </c>
      <c r="AL17" s="246">
        <f>IF(ISNUMBER(NºAsuntos!G17/NºAsuntos!E17),NºAsuntos!G17/NºAsuntos!E17," - ")</f>
        <v>1.0009891196834817</v>
      </c>
      <c r="AM17" s="263">
        <f>IF(ISNUMBER(((NºAsuntos!I17/NºAsuntos!G17)*11)/factor_trimestre),((NºAsuntos!I17/NºAsuntos!G17)*11)/factor_trimestre," - ")</f>
        <v>1.7173913043478259</v>
      </c>
      <c r="AN17" s="247">
        <f>IF(ISNUMBER('Resol  Asuntos'!D17/NºAsuntos!G17),'Resol  Asuntos'!D17/NºAsuntos!G17," - ")</f>
        <v>0.27173913043478259</v>
      </c>
      <c r="AO17" s="248">
        <f>IF(ISNUMBER((NºAsuntos!C17+NºAsuntos!E17)/NºAsuntos!G17),(NºAsuntos!C17+NºAsuntos!E17)/NºAsuntos!G17," - ")</f>
        <v>1.1561264822134387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2623</v>
      </c>
      <c r="G18" s="869">
        <f>SUBTOTAL(9,G15:G17)</f>
        <v>2781</v>
      </c>
      <c r="H18" s="868">
        <f t="shared" ref="H18:O18" si="10">SUBTOTAL(9,H14:H17)</f>
        <v>0</v>
      </c>
      <c r="I18" s="870">
        <f t="shared" si="10"/>
        <v>0</v>
      </c>
      <c r="J18" s="870">
        <f t="shared" si="10"/>
        <v>0</v>
      </c>
      <c r="K18" s="870">
        <f t="shared" si="10"/>
        <v>0</v>
      </c>
      <c r="L18" s="870">
        <f t="shared" si="10"/>
        <v>422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12579</v>
      </c>
      <c r="X18" s="870">
        <f t="shared" si="11"/>
        <v>351</v>
      </c>
      <c r="Y18" s="871">
        <f t="shared" si="11"/>
        <v>12639</v>
      </c>
      <c r="Z18" s="871">
        <f t="shared" si="11"/>
        <v>0</v>
      </c>
      <c r="AA18" s="871">
        <f t="shared" si="11"/>
        <v>3402</v>
      </c>
      <c r="AB18" s="871">
        <f t="shared" si="11"/>
        <v>470</v>
      </c>
      <c r="AC18" s="871">
        <f t="shared" si="11"/>
        <v>3872</v>
      </c>
      <c r="AD18" s="871">
        <f t="shared" si="11"/>
        <v>0</v>
      </c>
      <c r="AE18" s="875">
        <f t="shared" si="11"/>
        <v>0</v>
      </c>
      <c r="AF18" s="868">
        <f t="shared" si="11"/>
        <v>0</v>
      </c>
      <c r="AG18" s="876">
        <f t="shared" si="11"/>
        <v>0</v>
      </c>
      <c r="AH18" s="873">
        <f t="shared" si="11"/>
        <v>0</v>
      </c>
      <c r="AI18" s="868">
        <f t="shared" si="11"/>
        <v>1483</v>
      </c>
      <c r="AJ18" s="870">
        <f t="shared" si="11"/>
        <v>0</v>
      </c>
      <c r="AK18" s="873">
        <f t="shared" si="11"/>
        <v>0</v>
      </c>
      <c r="AL18" s="877">
        <f>IF(ISNUMBER(NºAsuntos!G18/NºAsuntos!E18),NºAsuntos!G18/NºAsuntos!E18," - ")</f>
        <v>0.95302674445033719</v>
      </c>
      <c r="AM18" s="877">
        <f>IF(ISNUMBER(((NºAsuntos!I18/NºAsuntos!G18)*11)/factor_trimestre),((NºAsuntos!I18/NºAsuntos!G18)*11)/factor_trimestre," - ")</f>
        <v>2.9749582637729546</v>
      </c>
      <c r="AN18" s="878">
        <f>IF(ISNUMBER('Resol  Asuntos'!D18/NºAsuntos!G18),'Resol  Asuntos'!D18/NºAsuntos!G18," - ")</f>
        <v>0.11789490420542173</v>
      </c>
      <c r="AO18" s="879">
        <f>IF(ISNUMBER((NºAsuntos!C18+NºAsuntos!E18)/NºAsuntos!G18),(NºAsuntos!C18+NºAsuntos!E18)/NºAsuntos!G18," - ")</f>
        <v>1.2703712536767628</v>
      </c>
      <c r="AP18" s="880" t="str">
        <f t="shared" si="2"/>
        <v xml:space="preserve"> - </v>
      </c>
      <c r="AQ18" s="880">
        <f>IF(ISNUMBER((H18-W18+K18)/(F18)),(H18-W18+K18)/(F18)," - ")</f>
        <v>-4.7956538314906592</v>
      </c>
      <c r="AR18" s="881">
        <f>IF(ISNUMBER((Datos!P18-Datos!Q18)/(Datos!R18-Datos!P18+Datos!Q18)),(Datos!P18-Datos!Q18)/(Datos!R18-Datos!P18+Datos!Q18)," - ")</f>
        <v>0.17794486215538846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2711</v>
      </c>
      <c r="G19" s="824">
        <f t="shared" si="13"/>
        <v>2869</v>
      </c>
      <c r="H19" s="823">
        <f t="shared" si="13"/>
        <v>0</v>
      </c>
      <c r="I19" s="825">
        <f t="shared" si="13"/>
        <v>0</v>
      </c>
      <c r="J19" s="825">
        <f t="shared" si="13"/>
        <v>0</v>
      </c>
      <c r="K19" s="884">
        <f t="shared" si="13"/>
        <v>0</v>
      </c>
      <c r="L19" s="825">
        <f t="shared" si="13"/>
        <v>2322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12703</v>
      </c>
      <c r="X19" s="824">
        <f t="shared" si="14"/>
        <v>1359</v>
      </c>
      <c r="Y19" s="831">
        <f t="shared" si="14"/>
        <v>13771</v>
      </c>
      <c r="Z19" s="831">
        <f t="shared" si="14"/>
        <v>0</v>
      </c>
      <c r="AA19" s="831">
        <f t="shared" si="14"/>
        <v>3493</v>
      </c>
      <c r="AB19" s="831">
        <f t="shared" si="14"/>
        <v>11772</v>
      </c>
      <c r="AC19" s="831">
        <f t="shared" si="14"/>
        <v>4006</v>
      </c>
      <c r="AD19" s="831">
        <f t="shared" si="14"/>
        <v>0</v>
      </c>
      <c r="AE19" s="833">
        <f t="shared" si="14"/>
        <v>0</v>
      </c>
      <c r="AF19" s="834">
        <f t="shared" si="14"/>
        <v>0</v>
      </c>
      <c r="AG19" s="835">
        <f t="shared" si="14"/>
        <v>0</v>
      </c>
      <c r="AH19" s="833">
        <f t="shared" si="14"/>
        <v>0</v>
      </c>
      <c r="AI19" s="823">
        <f t="shared" si="14"/>
        <v>3637</v>
      </c>
      <c r="AJ19" s="823">
        <f t="shared" si="14"/>
        <v>0</v>
      </c>
      <c r="AK19" s="833">
        <f t="shared" si="14"/>
        <v>0</v>
      </c>
      <c r="AL19" s="887">
        <f>IF(ISNUMBER(NºAsuntos!G19/NºAsuntos!E19),NºAsuntos!G19/NºAsuntos!E19," - ")</f>
        <v>0.88732080516972445</v>
      </c>
      <c r="AM19" s="888">
        <f>IF(ISNUMBER(((NºAsuntos!I19/NºAsuntos!G19)*11)/factor_trimestre),((NºAsuntos!I19/NºAsuntos!G19)*11)/factor_trimestre," - ")</f>
        <v>6.7380294659300182</v>
      </c>
      <c r="AN19" s="888">
        <f>IF(ISNUMBER('Resol  Asuntos'!D19/NºAsuntos!G19),'Resol  Asuntos'!D19/NºAsuntos!G19," - ")</f>
        <v>0.15222668675707349</v>
      </c>
      <c r="AO19" s="889">
        <f>IF(ISNUMBER((NºAsuntos!C19+NºAsuntos!E19)/NºAsuntos!G19),(NºAsuntos!C19+NºAsuntos!E19)/NºAsuntos!G19," - ")</f>
        <v>1.6184496902728946</v>
      </c>
      <c r="AP19" s="890" t="str">
        <f t="shared" si="2"/>
        <v xml:space="preserve"> - </v>
      </c>
      <c r="AQ19" s="891">
        <f>IF(OR(ISNUMBER(FIND("01",Criterios!A8,1)),ISNUMBER(FIND("02",Criterios!A8,1)),ISNUMBER(FIND("03",Criterios!A8,1)),ISNUMBER(FIND("04",Criterios!A8,1))),(I19-W19+K19)/(F19-K19),(H19-W19+K19)/(F19-K19))</f>
        <v>-4.6857248247879015</v>
      </c>
      <c r="AR19" s="892">
        <f>IF(ISNUMBER((Datos!P19-Datos!Q19)/(Datos!R19-Datos!P19+Datos!Q19)),(Datos!P19-Datos!Q19)/(Datos!R19-Datos!P19+Datos!Q19)," - ")</f>
        <v>8.9092422980849295E-2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956.33333333333337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2.3333333333333335</v>
      </c>
      <c r="F21" s="255">
        <f>IF(ISNUMBER(STDEV(F8:F18)),STDEV(F8:F18),"-")</f>
        <v>1400.3454216728101</v>
      </c>
      <c r="G21" s="256">
        <f>IF(ISNUMBER(STDEV(G8:G18)),STDEV(G8:G18),"-")</f>
        <v>1350.1954920183471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6090.6653385871286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939.68972842863707</v>
      </c>
      <c r="AJ21" s="255">
        <f t="shared" si="18"/>
        <v>0</v>
      </c>
      <c r="AK21" s="257">
        <f t="shared" si="18"/>
        <v>0</v>
      </c>
      <c r="AL21" s="252">
        <f t="shared" si="18"/>
        <v>7.7862783209778089E-2</v>
      </c>
      <c r="AM21" s="253">
        <f t="shared" si="18"/>
        <v>35.252824250225032</v>
      </c>
      <c r="AN21" s="253">
        <f t="shared" si="18"/>
        <v>0.13397700252363021</v>
      </c>
      <c r="AO21" s="254">
        <f t="shared" si="18"/>
        <v>2.8284521228493138</v>
      </c>
      <c r="AP21" s="294" t="str">
        <f t="shared" si="18"/>
        <v>-</v>
      </c>
      <c r="AQ21" s="295">
        <f t="shared" si="18"/>
        <v>2.394661607343795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YACFJFrUsWnq4W3uqUIk6emrHNCO0L0JMPSGK04HVHKVNE5QVhkvz+WfK90U6uh6s+En6Eq9JtqZURlOWdbg==" saltValue="Vli+0fVisfLqAR98Msjo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SAN BARTOLOME DE TIRAJANA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2.7370478983382209E-2</v>
      </c>
      <c r="I9" s="353">
        <f>IF(ISNUMBER((Tasas!C9-Datos!BE9)/Datos!BE9),(Tasas!C9-Datos!BE9)/Datos!BE9," - ")</f>
        <v>0.18057724027175795</v>
      </c>
      <c r="J9" s="352">
        <f>IF(ISNUMBER((Tasas!D9-Datos!BF9)/Datos!BF9),(Tasas!D9-Datos!BF9)/Datos!BF9," - ")</f>
        <v>-0.56206917698423409</v>
      </c>
      <c r="K9" s="354">
        <f>IF(ISNUMBER((Tasas!E9-Datos!BG9)/Datos!BG9),(Tasas!E9-Datos!BG9)/Datos!BG9," - ")</f>
        <v>7.3644588706311853E-2</v>
      </c>
      <c r="M9" t="e">
        <f>IF(Monitorios="SI",Datos!CE9,0)</f>
        <v>#REF!</v>
      </c>
      <c r="N9" t="e">
        <f>IF(Monitorios="SI",Datos!CF9,0)</f>
        <v>#REF!</v>
      </c>
      <c r="O9" t="e">
        <f>IF(Monitorios="SI",Datos!CG9,0)</f>
        <v>#REF!</v>
      </c>
      <c r="P9" t="e">
        <f>IF(Monitorios="SI",Datos!CH9,0)</f>
        <v>#REF!</v>
      </c>
      <c r="Q9">
        <f>IF(J_V="SI",0,Datos!AG9)</f>
        <v>173</v>
      </c>
      <c r="R9">
        <f>IF(J_V="SI",0,Datos!AH9)</f>
        <v>448</v>
      </c>
      <c r="S9">
        <f>IF(J_V="SI",0,Datos!AI9)</f>
        <v>419</v>
      </c>
      <c r="T9">
        <f>IF(J_V="SI",0,Datos!AJ9)</f>
        <v>193</v>
      </c>
    </row>
    <row r="10" spans="2:20" ht="14.25">
      <c r="B10" s="278" t="s">
        <v>246</v>
      </c>
      <c r="C10" s="7" t="str">
        <f>Datos!A10</f>
        <v>Jdos. Violencia contra la mujer</v>
      </c>
      <c r="D10" s="355">
        <f>IF(ISNUMBER((Datos!I10-Datos!S10)/Datos!S10),(Datos!I10-Datos!S10)/Datos!S10," - ")</f>
        <v>0.14285714285714285</v>
      </c>
      <c r="E10" s="351">
        <f>IF(ISNUMBER((Datos!J10-Datos!T10)/Datos!T10),(Datos!J10-Datos!T10)/Datos!T10," - ")</f>
        <v>-0.17532467532467533</v>
      </c>
      <c r="F10" s="351">
        <f>IF(ISNUMBER((Datos!K10-Datos!U10)/Datos!U10),(Datos!K10-Datos!U10)/Datos!U10," - ")</f>
        <v>-0.13286713286713286</v>
      </c>
      <c r="G10" s="352">
        <f>IF(ISNUMBER((Datos!L10-Datos!V10)/Datos!V10),(Datos!L10-Datos!V10)/Datos!V10," - ")</f>
        <v>3.4090909090909088E-2</v>
      </c>
      <c r="H10" s="233">
        <f>IF(ISNUMBER((Datos!M10-Datos!W10)/Datos!W10),(Datos!M10-Datos!W10)/Datos!W10," - ")</f>
        <v>0.10638297872340426</v>
      </c>
      <c r="I10" s="353">
        <f>IF(ISNUMBER((Tasas!C10-Datos!BE10)/Datos!BE10),(Tasas!C10-Datos!BE10)/Datos!BE10," - ")</f>
        <v>0.19254032258064513</v>
      </c>
      <c r="J10" s="352">
        <f>IF(ISNUMBER((Tasas!D10-Datos!BF10)/Datos!BF10),(Tasas!D10-Datos!BF10)/Datos!BF10," - ")</f>
        <v>0.27590940288263571</v>
      </c>
      <c r="K10" s="354">
        <f>IF(ISNUMBER((Tasas!E10-Datos!BG10)/Datos!BG10),(Tasas!E10-Datos!BG10)/Datos!BG10," - ")</f>
        <v>7.3348694316436244E-2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2.9144768275203056E-2</v>
      </c>
      <c r="I13" s="360">
        <f>IF(ISNUMBER((Tasas!C13-Datos!BE13)/Datos!BE13),(Tasas!C13-Datos!BE13)/Datos!BE13," - ")</f>
        <v>0.18196274923343878</v>
      </c>
      <c r="J13" s="358">
        <f>IF(ISNUMBER((Tasas!D13-Datos!BF13)/Datos!BF13),(Tasas!D13-Datos!BF13)/Datos!BF13," - ")</f>
        <v>-0.55470262532158576</v>
      </c>
      <c r="K13" s="361">
        <f>IF(ISNUMBER((Tasas!E13-Datos!BG13)/Datos!BG13),(Tasas!E13-Datos!BG13)/Datos!BG13," - ")</f>
        <v>7.4242223972699903E-2</v>
      </c>
      <c r="M13" t="e">
        <f>IF(Monitorios="SI",Datos!CE13,0)</f>
        <v>#REF!</v>
      </c>
      <c r="N13" t="e">
        <f>IF(Monitorios="SI",Datos!CF13,0)</f>
        <v>#REF!</v>
      </c>
      <c r="O13" t="e">
        <f>IF(Monitorios="SI",Datos!CG13,0)</f>
        <v>#REF!</v>
      </c>
      <c r="P13" t="e">
        <f>IF(Monitorios="SI",Datos!CH13,0)</f>
        <v>#REF!</v>
      </c>
      <c r="Q13">
        <f>IF(J_V="SI",0,Datos!AG13)</f>
        <v>173</v>
      </c>
      <c r="R13">
        <f>IF(J_V="SI",0,Datos!AH13)</f>
        <v>448</v>
      </c>
      <c r="S13">
        <f>IF(J_V="SI",0,Datos!AI13)</f>
        <v>419</v>
      </c>
      <c r="T13">
        <f>IF(J_V="SI",0,Datos!AJ13)</f>
        <v>193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-8.5084033613445381E-2</v>
      </c>
      <c r="E15" s="351">
        <f>IF(ISNUMBER(
   IF(D_I="SI",(Datos!J15-Datos!T15)/Datos!T15,(Datos!J15+Datos!AD15-(Datos!T15+Datos!AL15))/(Datos!T15+Datos!AL15))
     ),IF(D_I="SI",(Datos!J15-Datos!T15)/Datos!T15,(Datos!J15+Datos!AD15-(Datos!T15+Datos!AL15))/(Datos!T15+Datos!AL15))," - ")</f>
        <v>8.27040952296349E-2</v>
      </c>
      <c r="F15" s="351">
        <f>IF(ISNUMBER(
   IF(D_I="SI",(Datos!K15-Datos!U15)/Datos!U15,(Datos!K15+Datos!AE15-(Datos!U15+Datos!AM15))/(Datos!U15+Datos!AM15))
     ),IF(D_I="SI",(Datos!K15-Datos!U15)/Datos!U15,(Datos!K15+Datos!AE15-(Datos!U15+Datos!AM15))/(Datos!U15+Datos!AM15))," - ")</f>
        <v>5.2146706066400136E-3</v>
      </c>
      <c r="G15" s="352">
        <f>IF(ISNUMBER(
   IF(D_I="SI",(Datos!L15-Datos!V15)/Datos!V15,(Datos!L15+Datos!AF15-(Datos!V15+Datos!AN15))/(Datos!V15+Datos!AN15))
     ),IF(D_I="SI",(Datos!L15-Datos!V15)/Datos!V15,(Datos!L15+Datos!AF15-(Datos!V15+Datos!AN15))/(Datos!V15+Datos!AN15))," - ")</f>
        <v>0.23804056639877536</v>
      </c>
      <c r="H15" s="233">
        <f>IF(ISNUMBER((Datos!M15-Datos!W15)/Datos!W15),(Datos!M15-Datos!W15)/Datos!W15," - ")</f>
        <v>-0.13093525179856116</v>
      </c>
      <c r="I15" s="353">
        <f>IF(ISNUMBER((Tasas!C15-Datos!BE15)/Datos!BE15),(Tasas!C15-Datos!BE15)/Datos!BE15," - ")</f>
        <v>0.23161808377868837</v>
      </c>
      <c r="J15" s="352">
        <f>IF(ISNUMBER((Tasas!D15-Datos!BF15)/Datos!BF15),(Tasas!D15-Datos!BF15)/Datos!BF15," - ")</f>
        <v>-0.13544362849682212</v>
      </c>
      <c r="K15" s="354">
        <f>IF(ISNUMBER((Tasas!E15-Datos!BG15)/Datos!BG15),(Tasas!E15-Datos!BG15)/Datos!BG15," - ")</f>
        <v>4.3308867917077332E-2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v>
      </c>
      <c r="E16" s="351" t="str">
        <f>IF(ISNUMBER(
   IF(D_I="SI",(Datos!J16-Datos!T16)/Datos!T16,(Datos!J16+Datos!AD16-(Datos!T16+Datos!AL16))/(Datos!T16+Datos!AL16))
     ),IF(D_I="SI",(Datos!J16-Datos!T16)/Datos!T16,(Datos!J16+Datos!AD16-(Datos!T16+Datos!AL16))/(Datos!T16+Datos!AL16))," - ")</f>
        <v xml:space="preserve"> - </v>
      </c>
      <c r="F16" s="351">
        <f>IF(ISNUMBER(
   IF(D_I="SI",(Datos!K16-Datos!U16)/Datos!U16,(Datos!K16+Datos!AE16-(Datos!U16+Datos!AM16))/(Datos!U16+Datos!AM16))
     ),IF(D_I="SI",(Datos!K16-Datos!U16)/Datos!U16,(Datos!K16+Datos!AE16-(Datos!U16+Datos!AM16))/(Datos!U16+Datos!AM16))," - ")</f>
        <v>0</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f>IF(ISNUMBER((Tasas!C16-Datos!BE16)/Datos!BE16),(Tasas!C16-Datos!BE16)/Datos!BE16," - ")</f>
        <v>0</v>
      </c>
      <c r="J16" s="352" t="str">
        <f>IF(ISNUMBER((Tasas!D16-Datos!BF16)/Datos!BF16),(Tasas!D16-Datos!BF16)/Datos!BF16," - ")</f>
        <v xml:space="preserve"> - </v>
      </c>
      <c r="K16" s="354">
        <f>IF(ISNUMBER((Tasas!E16-Datos!BG16)/Datos!BG16),(Tasas!E16-Datos!BG16)/Datos!BG16," - ")</f>
        <v>-0.1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0.32500000000000001</v>
      </c>
      <c r="E17" s="351">
        <f>IF(ISNUMBER(
   IF(D_I="SI",(Datos!J17-Datos!T17)/Datos!T17,(Datos!J17+Datos!AD17-(Datos!T17+Datos!AL17))/(Datos!T17+Datos!AL17))
     ),IF(D_I="SI",(Datos!J17-Datos!T17)/Datos!T17,(Datos!J17+Datos!AD17-(Datos!T17+Datos!AL17))/(Datos!T17+Datos!AL17))," - ")</f>
        <v>-6.3021316033364222E-2</v>
      </c>
      <c r="F17" s="351">
        <f>IF(ISNUMBER(
   IF(D_I="SI",(Datos!K17-Datos!U17)/Datos!U17,(Datos!K17+Datos!AE17-(Datos!U17+Datos!AM17))/(Datos!U17+Datos!AM17))
     ),IF(D_I="SI",(Datos!K17-Datos!U17)/Datos!U17,(Datos!K17+Datos!AE17-(Datos!U17+Datos!AM17))/(Datos!U17+Datos!AM17))," - ")</f>
        <v>2.973240832507433E-3</v>
      </c>
      <c r="G17" s="352">
        <f>IF(ISNUMBER(
   IF(D_I="SI",(Datos!L17-Datos!V17)/Datos!V17,(Datos!L17+Datos!AF17-(Datos!V17+Datos!AN17))/(Datos!V17+Datos!AN17))
     ),IF(D_I="SI",(Datos!L17-Datos!V17)/Datos!V17,(Datos!L17+Datos!AF17-(Datos!V17+Datos!AN17))/(Datos!V17+Datos!AN17))," - ")</f>
        <v>-6.2893081761006293E-3</v>
      </c>
      <c r="H17" s="233">
        <f>IF(ISNUMBER((Datos!M17-Datos!W17)/Datos!W17),(Datos!M17-Datos!W17)/Datos!W17," - ")</f>
        <v>0.11336032388663968</v>
      </c>
      <c r="I17" s="353">
        <f>IF(ISNUMBER((Tasas!C17-Datos!BE17)/Datos!BE17),(Tasas!C17-Datos!BE17)/Datos!BE17," - ")</f>
        <v>-9.2350908593731643E-3</v>
      </c>
      <c r="J17" s="352">
        <f>IF(ISNUMBER((Tasas!D17-Datos!BF17)/Datos!BF17),(Tasas!D17-Datos!BF17)/Datos!BF17," - ")</f>
        <v>0.11005984861820095</v>
      </c>
      <c r="K17" s="354">
        <f>IF(ISNUMBER((Tasas!E17-Datos!BG17)/Datos!BG17),(Tasas!E17-Datos!BG17)/Datos!BG17," - ")</f>
        <v>-2.7079549163169545E-2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-6.865371734762224E-2</v>
      </c>
      <c r="E18" s="357">
        <f>IF(ISNUMBER(
   IF(D_I="SI",(Datos!J18-Datos!T18)/Datos!T18,(Datos!J18+Datos!AD18-(Datos!T18+Datos!AL18))/(Datos!T18+Datos!AL18))
     ),IF(D_I="SI",(Datos!J18-Datos!T18)/Datos!T18,(Datos!J18+Datos!AD18-(Datos!T18+Datos!AL18))/(Datos!T18+Datos!AL18))," - ")</f>
        <v>6.9957846952010377E-2</v>
      </c>
      <c r="F18" s="357">
        <f>IF(ISNUMBER(
   IF(D_I="SI",(Datos!K18-Datos!U18)/Datos!U18,(Datos!K18+Datos!AE18-(Datos!U18+Datos!AM18))/(Datos!U18+Datos!AM18))
     ),IF(D_I="SI",(Datos!K18-Datos!U18)/Datos!U18,(Datos!K18+Datos!AE18-(Datos!U18+Datos!AM18))/(Datos!U18+Datos!AM18))," - ")</f>
        <v>5.0335570469798654E-3</v>
      </c>
      <c r="G18" s="358">
        <f>IF(ISNUMBER(
   IF(D_I="SI",(Datos!L18-Datos!V18)/Datos!V18,(Datos!L18+Datos!AF18-(Datos!V18+Datos!AN18))/(Datos!V18+Datos!AN18))
     ),IF(D_I="SI",(Datos!L18-Datos!V18)/Datos!V18,(Datos!L18+Datos!AF18-(Datos!V18+Datos!AN18))/(Datos!V18+Datos!AN18))," - ")</f>
        <v>0.22330097087378642</v>
      </c>
      <c r="H18" s="359">
        <f>IF(ISNUMBER((Datos!M18-Datos!W18)/Datos!W18),(Datos!M18-Datos!W18)/Datos!W18," - ")</f>
        <v>-9.407452657299939E-2</v>
      </c>
      <c r="I18" s="360">
        <f>IF(ISNUMBER((Tasas!C18-Datos!BE18)/Datos!BE18),(Tasas!C18-Datos!BE18)/Datos!BE18," - ")</f>
        <v>0.21717425482600441</v>
      </c>
      <c r="J18" s="358">
        <f>IF(ISNUMBER((Tasas!D18-Datos!BF18)/Datos!BF18),(Tasas!D18-Datos!BF18)/Datos!BF18," - ")</f>
        <v>-9.8611715922383436E-2</v>
      </c>
      <c r="K18" s="361">
        <f>IF(ISNUMBER((Tasas!E18-Datos!BG18)/Datos!BG18),(Tasas!E18-Datos!BG18)/Datos!BG18," - ")</f>
        <v>3.7721355633622444E-2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7.4880995972171363E-2</v>
      </c>
      <c r="E19" s="366">
        <f>IF(ISNUMBER(
   IF(J_V="SI",(Datos!J19-Datos!T19)/Datos!T19,(Datos!J19+Datos!Z19-(Datos!T19+Datos!AH19))/(Datos!T19+Datos!AH19))
     ),IF(J_V="SI",(Datos!J19-Datos!T19)/Datos!T19,(Datos!J19+Datos!Z19-(Datos!T19+Datos!AH19))/(Datos!T19+Datos!AH19))," - ")</f>
        <v>0.1075189206975979</v>
      </c>
      <c r="F19" s="366">
        <f>IF(ISNUMBER(
   IF(J_V="SI",(Datos!K19-Datos!U19)/Datos!U19,(Datos!K19+Datos!AA19-(Datos!U19+Datos!AI19))/(Datos!U19+Datos!AI19))
     ),IF(J_V="SI",(Datos!K19-Datos!U19)/Datos!U19,(Datos!K19+Datos!AA19-(Datos!U19+Datos!AI19))/(Datos!U19+Datos!AI19))," - ")</f>
        <v>3.0582754604667212E-2</v>
      </c>
      <c r="G19" s="367">
        <f>IF(ISNUMBER(
   IF(J_V="SI",(Datos!L19-Datos!V19)/Datos!V19,(Datos!L19+Datos!AB19-(Datos!V19+Datos!AJ19))/(Datos!V19+Datos!AJ19))
     ),IF(J_V="SI",(Datos!L19-Datos!V19)/Datos!V19,(Datos!L19+Datos!AB19-(Datos!V19+Datos!AJ19))/(Datos!V19+Datos!AJ19))," - ")</f>
        <v>0.24638051439277805</v>
      </c>
      <c r="H19" s="368">
        <f>IF(ISNUMBER((Datos!M19-Datos!W19)/Datos!W19),(Datos!M19-Datos!W19)/Datos!W19," - ")</f>
        <v>-2.4932975871313674E-2</v>
      </c>
      <c r="I19" s="365">
        <f>IF(ISNUMBER((Tasas!C19-Datos!BE19)/Datos!BE19),(Tasas!C19-Datos!BE19)/Datos!BE19," - ")</f>
        <v>0.20939391700852886</v>
      </c>
      <c r="J19" s="366">
        <f>IF(ISNUMBER((Tasas!D19-Datos!BF19)/Datos!BF19),(Tasas!D19-Datos!BF19)/Datos!BF19," - ")</f>
        <v>-0.43061128120535097</v>
      </c>
      <c r="K19" s="367">
        <f>IF(ISNUMBER((Tasas!E19-Datos!BG19)/Datos!BG19),(Tasas!E19-Datos!BG19)/Datos!BG19," - ")</f>
        <v>6.483480444989545E-2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0.18629034204011907</v>
      </c>
      <c r="E21" s="281">
        <f t="shared" si="1"/>
        <v>0.12194132017679341</v>
      </c>
      <c r="F21" s="281">
        <f t="shared" si="1"/>
        <v>6.093444765160947E-2</v>
      </c>
      <c r="G21" s="282">
        <f t="shared" si="1"/>
        <v>0.12234804697812532</v>
      </c>
      <c r="H21" s="288">
        <f t="shared" si="1"/>
        <v>0.10131414423942654</v>
      </c>
      <c r="I21" s="280">
        <f t="shared" si="1"/>
        <v>0.10194615667674219</v>
      </c>
      <c r="J21" s="281">
        <f t="shared" si="1"/>
        <v>0.34198442025510689</v>
      </c>
      <c r="K21" s="282">
        <f t="shared" si="1"/>
        <v>6.5781216793447755E-2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Zs1pv1t26qW5BqLq6+2jXPLbVc6aMPEiB5QoYOPHcBmscGGEbbzGiIGdHe1LIVzAWSFjrBcnZiX1jZD9wN8VQ==" saltValue="R8lhHUaOjonuCVyxvBRc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